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checkCompatibility="1"/>
  <bookViews>
    <workbookView xWindow="240" yWindow="60" windowWidth="7770" windowHeight="4500" tabRatio="833"/>
  </bookViews>
  <sheets>
    <sheet name="Anexo 2.1 Bocatoma" sheetId="1" r:id="rId1"/>
    <sheet name="Boc marinera" sheetId="9" state="hidden" r:id="rId2"/>
    <sheet name="Anexo 2.2 Caja de derivación" sheetId="13" r:id="rId3"/>
    <sheet name="Int. desarenador" sheetId="7" r:id="rId4"/>
    <sheet name="Des-Esc 1 (RAS-2000)" sheetId="11" r:id="rId5"/>
    <sheet name="Anexo 2.3 Des-Esc 2 (RAS-2000)" sheetId="12" r:id="rId6"/>
    <sheet name="Relacion Diametro - Velocidad" sheetId="5" r:id="rId7"/>
    <sheet name="Viscosidad, Numero Hazen" sheetId="4" r:id="rId8"/>
  </sheets>
  <definedNames>
    <definedName name="_xlnm.Print_Area" localSheetId="0">'Anexo 2.1 Bocatoma'!$A$1:$G$118</definedName>
    <definedName name="_xlnm.Print_Area" localSheetId="5">'Anexo 2.3 Des-Esc 2 (RAS-2000)'!$A$1:$H$182</definedName>
    <definedName name="_xlnm.Print_Area" localSheetId="1">'Boc marinera'!$A$1:$G$85</definedName>
    <definedName name="_xlnm.Print_Area" localSheetId="4">'Des-Esc 1 (RAS-2000)'!$A$1:$H$182</definedName>
    <definedName name="_xlnm.Print_Area" localSheetId="3">'Int. desarenador'!$A$1:$H$40</definedName>
    <definedName name="_xlnm.Print_Area" localSheetId="7">'Viscosidad, Numero Hazen'!$A$1:$E$42</definedName>
    <definedName name="_xlnm.Print_Area">#REF!</definedName>
    <definedName name="_xlnm.Print_Titles" localSheetId="0">'Anexo 2.1 Bocatoma'!$1:$9</definedName>
    <definedName name="_xlnm.Print_Titles" localSheetId="5">'Anexo 2.3 Des-Esc 2 (RAS-2000)'!$1:$10</definedName>
    <definedName name="_xlnm.Print_Titles" localSheetId="1">'Boc marinera'!$1:$3</definedName>
    <definedName name="_xlnm.Print_Titles" localSheetId="4">'Des-Esc 1 (RAS-2000)'!$1:$10</definedName>
    <definedName name="_xlnm.Print_Titles" localSheetId="3">'Int. desarenador'!$1:$10</definedName>
  </definedNames>
  <calcPr calcId="144525"/>
</workbook>
</file>

<file path=xl/calcChain.xml><?xml version="1.0" encoding="utf-8"?>
<calcChain xmlns="http://schemas.openxmlformats.org/spreadsheetml/2006/main">
  <c r="E31" i="13" l="1"/>
  <c r="E103" i="1" l="1"/>
  <c r="A89" i="1"/>
  <c r="D41" i="13" l="1"/>
  <c r="D42" i="13" s="1"/>
  <c r="F86" i="12" l="1"/>
  <c r="E124" i="12"/>
  <c r="F81" i="12"/>
  <c r="F94" i="12"/>
  <c r="D94" i="12" l="1"/>
  <c r="D61" i="12"/>
  <c r="D124" i="12" s="1"/>
  <c r="D57" i="12"/>
  <c r="D95" i="12"/>
  <c r="E99" i="12" l="1"/>
  <c r="A126" i="12"/>
  <c r="E124" i="11" l="1"/>
  <c r="C18" i="13" l="1"/>
  <c r="G31" i="13"/>
  <c r="C39" i="13"/>
  <c r="C38" i="13"/>
  <c r="E85" i="1" l="1"/>
  <c r="D87" i="1" s="1"/>
  <c r="F79" i="12"/>
  <c r="D150" i="12"/>
  <c r="D150" i="11"/>
  <c r="D61" i="1"/>
  <c r="D60" i="1"/>
  <c r="E31" i="1"/>
  <c r="A126" i="11" l="1"/>
  <c r="A38" i="1"/>
  <c r="E79" i="1" l="1"/>
  <c r="D171" i="12" l="1"/>
  <c r="D167" i="12"/>
  <c r="D168" i="12" s="1"/>
  <c r="D170" i="12" s="1"/>
  <c r="D149" i="12"/>
  <c r="D137" i="12"/>
  <c r="D111" i="12"/>
  <c r="D108" i="12" s="1"/>
  <c r="D109" i="12" s="1"/>
  <c r="D97" i="12"/>
  <c r="D96" i="12"/>
  <c r="H79" i="12"/>
  <c r="D69" i="12"/>
  <c r="D59" i="12"/>
  <c r="A113" i="12" l="1"/>
  <c r="D165" i="12"/>
  <c r="D174" i="12" s="1"/>
  <c r="H79" i="11"/>
  <c r="D176" i="12" l="1"/>
  <c r="D175" i="12"/>
  <c r="A178" i="12" s="1"/>
  <c r="D171" i="11"/>
  <c r="D167" i="11"/>
  <c r="D168" i="11" s="1"/>
  <c r="D170" i="11" s="1"/>
  <c r="D149" i="11"/>
  <c r="D137" i="11"/>
  <c r="D111" i="11"/>
  <c r="D108" i="11" s="1"/>
  <c r="D109" i="11" s="1"/>
  <c r="D97" i="11"/>
  <c r="D96" i="11"/>
  <c r="F79" i="11"/>
  <c r="D165" i="11"/>
  <c r="D59" i="11"/>
  <c r="D59" i="1"/>
  <c r="E101" i="1"/>
  <c r="E102" i="1" l="1"/>
  <c r="D106" i="1" s="1"/>
  <c r="D69" i="11"/>
  <c r="D174" i="11"/>
  <c r="D176" i="11" s="1"/>
  <c r="A113" i="11"/>
  <c r="E27" i="1"/>
  <c r="D36" i="1" s="1"/>
  <c r="A108" i="1" l="1"/>
  <c r="D47" i="1"/>
  <c r="D49" i="1" s="1"/>
  <c r="D175" i="11"/>
  <c r="A178" i="11" s="1"/>
  <c r="D135" i="12"/>
  <c r="A88" i="12"/>
  <c r="D152" i="12"/>
  <c r="D153" i="12" s="1"/>
  <c r="D154" i="12" s="1"/>
  <c r="A157" i="12" s="1"/>
  <c r="E20" i="9"/>
  <c r="D29" i="9" s="1"/>
  <c r="D39" i="9" s="1"/>
  <c r="D41" i="9" s="1"/>
  <c r="A43" i="9" s="1"/>
  <c r="E24" i="9"/>
  <c r="D49" i="9"/>
  <c r="E68" i="9"/>
  <c r="E69" i="9" s="1"/>
  <c r="C73" i="9" s="1"/>
  <c r="A51" i="1"/>
  <c r="A63" i="1"/>
  <c r="E80" i="1"/>
  <c r="B5" i="4"/>
  <c r="E5" i="4" s="1"/>
  <c r="D5" i="4"/>
  <c r="A6" i="4"/>
  <c r="B6" i="4"/>
  <c r="E6" i="4" s="1"/>
  <c r="D6" i="4"/>
  <c r="A7" i="4"/>
  <c r="B7" i="4"/>
  <c r="E7" i="4" s="1"/>
  <c r="D7" i="4"/>
  <c r="A8" i="4"/>
  <c r="B8" i="4"/>
  <c r="E8" i="4" s="1"/>
  <c r="D8" i="4"/>
  <c r="A9" i="4"/>
  <c r="B9" i="4"/>
  <c r="E9" i="4" s="1"/>
  <c r="D9" i="4"/>
  <c r="A10" i="4"/>
  <c r="B10" i="4"/>
  <c r="E10" i="4" s="1"/>
  <c r="D10" i="4"/>
  <c r="A11" i="4"/>
  <c r="B11" i="4"/>
  <c r="E11" i="4" s="1"/>
  <c r="D11" i="4"/>
  <c r="A12" i="4"/>
  <c r="A13" i="4" s="1"/>
  <c r="A14" i="4" s="1"/>
  <c r="A15" i="4" s="1"/>
  <c r="A16" i="4" s="1"/>
  <c r="A17" i="4" s="1"/>
  <c r="A18" i="4" s="1"/>
  <c r="A19" i="4" s="1"/>
  <c r="A20" i="4" s="1"/>
  <c r="B12" i="4"/>
  <c r="E12" i="4" s="1"/>
  <c r="D12" i="4"/>
  <c r="B13" i="4"/>
  <c r="E13" i="4" s="1"/>
  <c r="D13" i="4"/>
  <c r="B14" i="4"/>
  <c r="E14" i="4" s="1"/>
  <c r="D14" i="4"/>
  <c r="B15" i="4"/>
  <c r="D15" i="4"/>
  <c r="E15" i="4"/>
  <c r="B16" i="4"/>
  <c r="D16" i="4"/>
  <c r="E16" i="4"/>
  <c r="B17" i="4"/>
  <c r="E17" i="4" s="1"/>
  <c r="D17" i="4"/>
  <c r="B18" i="4"/>
  <c r="E18" i="4" s="1"/>
  <c r="D18" i="4"/>
  <c r="B19" i="4"/>
  <c r="E19" i="4" s="1"/>
  <c r="D19" i="4"/>
  <c r="B20" i="4"/>
  <c r="E20" i="4" s="1"/>
  <c r="D20" i="4"/>
  <c r="B21" i="4"/>
  <c r="E21" i="4" s="1"/>
  <c r="D21" i="4"/>
  <c r="B22" i="4"/>
  <c r="E22" i="4" s="1"/>
  <c r="D22" i="4"/>
  <c r="B23" i="4"/>
  <c r="D23" i="4"/>
  <c r="E23" i="4"/>
  <c r="B24" i="4"/>
  <c r="D24" i="4"/>
  <c r="E24" i="4"/>
  <c r="B25" i="4"/>
  <c r="E25" i="4" s="1"/>
  <c r="D25" i="4"/>
  <c r="B26" i="4"/>
  <c r="E26" i="4" s="1"/>
  <c r="D26" i="4"/>
  <c r="B27" i="4"/>
  <c r="E27" i="4" s="1"/>
  <c r="D27" i="4"/>
  <c r="B28" i="4"/>
  <c r="E28" i="4" s="1"/>
  <c r="D28" i="4"/>
  <c r="B29" i="4"/>
  <c r="E29" i="4" s="1"/>
  <c r="D29" i="4"/>
  <c r="B30" i="4"/>
  <c r="E30" i="4" s="1"/>
  <c r="D30" i="4"/>
  <c r="B31" i="4"/>
  <c r="D31" i="4"/>
  <c r="E31" i="4"/>
  <c r="B32" i="4"/>
  <c r="D32" i="4"/>
  <c r="E32" i="4"/>
  <c r="B33" i="4"/>
  <c r="E33" i="4" s="1"/>
  <c r="D33" i="4"/>
  <c r="B34" i="4"/>
  <c r="E34" i="4" s="1"/>
  <c r="D34" i="4"/>
  <c r="B35" i="4"/>
  <c r="E35" i="4" s="1"/>
  <c r="D35" i="4"/>
  <c r="D136" i="12" l="1"/>
  <c r="D138" i="12" s="1"/>
  <c r="A140" i="12" s="1"/>
  <c r="F109" i="12"/>
  <c r="E81" i="1"/>
  <c r="E65" i="9"/>
  <c r="A75" i="9"/>
  <c r="A21" i="4"/>
  <c r="A22" i="4" s="1"/>
  <c r="A23" i="4" s="1"/>
  <c r="A24" i="4" s="1"/>
  <c r="A25" i="4" s="1"/>
  <c r="A26" i="4" s="1"/>
  <c r="A27" i="4" s="1"/>
  <c r="A28" i="4" s="1"/>
  <c r="A29" i="4" s="1"/>
  <c r="A30" i="4" s="1"/>
  <c r="A31" i="4" s="1"/>
  <c r="A32" i="4" s="1"/>
  <c r="A33" i="4" s="1"/>
  <c r="A34" i="4" s="1"/>
  <c r="A35" i="4" s="1"/>
  <c r="D40" i="12" l="1"/>
  <c r="D40" i="11"/>
  <c r="D57" i="11" s="1"/>
  <c r="D61" i="11" s="1"/>
  <c r="D71" i="12" l="1"/>
  <c r="D124" i="11"/>
  <c r="D71" i="11"/>
  <c r="D81" i="11" s="1"/>
  <c r="F99" i="12" l="1"/>
  <c r="A102" i="12"/>
  <c r="F81" i="11"/>
  <c r="F86" i="11"/>
  <c r="D152" i="11" l="1"/>
  <c r="D153" i="11" s="1"/>
  <c r="D154" i="11" s="1"/>
  <c r="A157" i="11" s="1"/>
  <c r="D95" i="11"/>
  <c r="D94" i="11" s="1"/>
  <c r="A88" i="11"/>
  <c r="D135" i="11"/>
  <c r="D136" i="11" l="1"/>
  <c r="D138" i="11" s="1"/>
  <c r="A140" i="11" s="1"/>
  <c r="E99" i="11"/>
  <c r="F99" i="11" s="1"/>
  <c r="F109" i="11"/>
  <c r="F94" i="11"/>
  <c r="A102" i="11" l="1"/>
</calcChain>
</file>

<file path=xl/comments1.xml><?xml version="1.0" encoding="utf-8"?>
<comments xmlns="http://schemas.openxmlformats.org/spreadsheetml/2006/main">
  <authors>
    <author>SanearPC8</author>
  </authors>
  <commentList>
    <comment ref="A22" authorId="0">
      <text>
        <r>
          <rPr>
            <sz val="8"/>
            <color indexed="81"/>
            <rFont val="Tahoma"/>
            <family val="2"/>
          </rPr>
          <t xml:space="preserve">OBRAS HIDRAULICAS RURALES. Ing Hernan Materon Muñoz.
Universidad del Valle.
Cuarta edicion,1991 
 Pág 3.69 - 3.77) </t>
        </r>
      </text>
    </comment>
    <comment ref="F26" authorId="0">
      <text>
        <r>
          <rPr>
            <sz val="8"/>
            <color indexed="81"/>
            <rFont val="Tahoma"/>
            <family val="2"/>
          </rPr>
          <t>OBRAS HIDRAULICAS RURALES. Ing Hernan Materon Muñoz.
Universidad del Valle.
Cuarta edicion,1991 
Tabla 3.4,  Pág 3.77</t>
        </r>
      </text>
    </comment>
    <comment ref="F34" authorId="0">
      <text>
        <r>
          <rPr>
            <sz val="8"/>
            <color indexed="81"/>
            <rFont val="Tahoma"/>
            <family val="2"/>
          </rPr>
          <t>OBRAS HIDRAULICAS RURALES. 
Ing Hernan Materon Muñoz.
Universidad del Valle.
Cuarta edicion,1991 
Pág 3.73</t>
        </r>
      </text>
    </comment>
    <comment ref="A44" authorId="0">
      <text>
        <r>
          <rPr>
            <sz val="8"/>
            <color indexed="81"/>
            <rFont val="Tahoma"/>
            <family val="2"/>
          </rPr>
          <t>MANUAL DE HIDRAULICA.
J. M. Azevedo Netto, Guillermo Acosta Alvarez. Editorial Harla. Sexta edición, 1976. Pág 79</t>
        </r>
      </text>
    </comment>
    <comment ref="A55" authorId="0">
      <text>
        <r>
          <rPr>
            <sz val="8"/>
            <color indexed="81"/>
            <rFont val="Tahoma"/>
            <family val="2"/>
          </rPr>
          <t>MANUAL DE HIDRAULICA.
J. M. Azevedo Netto, Guillermo Acosta Alvarez. Editorial Harla. Sexta edición, 1976. 
Pág 79</t>
        </r>
      </text>
    </comment>
    <comment ref="A95" authorId="0">
      <text>
        <r>
          <rPr>
            <sz val="8"/>
            <color indexed="81"/>
            <rFont val="Tahoma"/>
            <family val="2"/>
          </rPr>
          <t>MANUAL DE HIDRAULICA. 
J. M. Azevedo Netto, Guillermo Acosta Alvarez. Editorial Harla. Sexta edición, 1976. 
Pág 73</t>
        </r>
      </text>
    </comment>
    <comment ref="F99" authorId="0">
      <text>
        <r>
          <rPr>
            <sz val="8"/>
            <color indexed="81"/>
            <rFont val="Tahoma"/>
            <family val="2"/>
          </rPr>
          <t>MANUAL DE HIDRAULICA. 
J. M. Azevedo Netto, Guillermo Acosta Alvarez. Editorial Harla. Sexta edición, 1976. 
Pág 73</t>
        </r>
      </text>
    </comment>
  </commentList>
</comments>
</file>

<file path=xl/comments2.xml><?xml version="1.0" encoding="utf-8"?>
<comments xmlns="http://schemas.openxmlformats.org/spreadsheetml/2006/main">
  <authors>
    <author>SanearPC8</author>
  </authors>
  <commentList>
    <comment ref="A14" authorId="0">
      <text>
        <r>
          <rPr>
            <b/>
            <sz val="8"/>
            <color indexed="81"/>
            <rFont val="Tahoma"/>
            <family val="2"/>
          </rPr>
          <t>SanearPC8:</t>
        </r>
        <r>
          <rPr>
            <sz val="8"/>
            <color indexed="81"/>
            <rFont val="Tahoma"/>
            <family val="2"/>
          </rPr>
          <t xml:space="preserve">
OBRAS HIDRAULICAS RURALES. Ing Hernan Materon Muñoz.
Universidad del Valle.
Cuarta edicion,1991 
 Pág 3.69 - 3.77) </t>
        </r>
      </text>
    </comment>
    <comment ref="F19" authorId="0">
      <text>
        <r>
          <rPr>
            <b/>
            <sz val="8"/>
            <color indexed="81"/>
            <rFont val="Tahoma"/>
            <family val="2"/>
          </rPr>
          <t>SanearPC8:</t>
        </r>
        <r>
          <rPr>
            <sz val="8"/>
            <color indexed="81"/>
            <rFont val="Tahoma"/>
            <family val="2"/>
          </rPr>
          <t xml:space="preserve">
OBRAS HIDRAULICAS RURALES. Ing Hernan Materon Muñoz.
Universidad del Valle.
Cuarta edicion,1991 
Tabla 3.4,  Pág 3.77</t>
        </r>
      </text>
    </comment>
    <comment ref="F27" authorId="0">
      <text>
        <r>
          <rPr>
            <b/>
            <sz val="8"/>
            <color indexed="81"/>
            <rFont val="Tahoma"/>
            <family val="2"/>
          </rPr>
          <t>SanearPC8:</t>
        </r>
        <r>
          <rPr>
            <sz val="8"/>
            <color indexed="81"/>
            <rFont val="Tahoma"/>
            <family val="2"/>
          </rPr>
          <t xml:space="preserve">
OBRAS HIDRAULICAS RURALES. 
Ing Hernan Materon Muñoz.
Universidad del Valle.
Cuarta edicion,1991 
Pág 3.73</t>
        </r>
      </text>
    </comment>
    <comment ref="A3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45"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62"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 ref="F6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List>
</comments>
</file>

<file path=xl/comments3.xml><?xml version="1.0" encoding="utf-8"?>
<comments xmlns="http://schemas.openxmlformats.org/spreadsheetml/2006/main">
  <authors>
    <author>SanearPC8</author>
    <author>SANEAR</author>
  </authors>
  <commentList>
    <comment ref="C55" authorId="0">
      <text>
        <r>
          <rPr>
            <sz val="8"/>
            <color indexed="81"/>
            <rFont val="Tahoma"/>
            <family val="2"/>
          </rPr>
          <t>ACUEDUCTO. Teoria y Diseño.  Freddy Corcho Romero, Jose I. Duque Serna. 
Universidad de Medellin. 1993
Pág 179</t>
        </r>
      </text>
    </comment>
    <comment ref="E58" authorId="0">
      <text>
        <r>
          <rPr>
            <sz val="8"/>
            <color indexed="81"/>
            <rFont val="Tahoma"/>
            <family val="2"/>
          </rPr>
          <t>VELOCIDAD TOMADA DEL GRAFICO (FIGURA 4.4), EN LIBRO DE FREDY CORCHO, EN PAGINA 182.
O TAMBIEN DE TABLA 4.2, PAG 179.
CUANDO NO APAREZCA EN LA TABLA, SE DEBE INTERPOLAR.</t>
        </r>
      </text>
    </comment>
    <comment ref="E99" authorId="0">
      <text>
        <r>
          <rPr>
            <sz val="8"/>
            <color indexed="81"/>
            <rFont val="Tahoma"/>
            <family val="2"/>
          </rPr>
          <t xml:space="preserve">La relación entre la velocidad horizontal y la velocidad de asentamiento vertical debe ser inferior a 20.
</t>
        </r>
      </text>
    </comment>
    <comment ref="F106" authorId="1">
      <text>
        <r>
          <rPr>
            <sz val="8"/>
            <color indexed="81"/>
            <rFont val="Tahoma"/>
            <family val="2"/>
          </rPr>
          <t>ACUEDUCTO Y ALCANTARILLADO Jorge Arturo Perez Parra. Facultad de Minas, Universidad Nacional. Primera edición, 2002
Pág 150</t>
        </r>
      </text>
    </comment>
    <comment ref="F117" authorId="0">
      <text>
        <r>
          <rPr>
            <sz val="8"/>
            <color indexed="81"/>
            <rFont val="Tahoma"/>
            <family val="2"/>
          </rPr>
          <t>ACUEDUCTO Y ALCANTARILLADO Jorge Arturo Perez Parra. Facultad de Minas, Universidad Nacional. Primera edición, 2002
Pág 177</t>
        </r>
      </text>
    </comment>
    <comment ref="C132" authorId="0">
      <text>
        <r>
          <rPr>
            <sz val="8"/>
            <color indexed="81"/>
            <rFont val="Tahoma"/>
            <family val="2"/>
          </rPr>
          <t>MANUAL DE HIDRAULICA.
J. M. Azevedo Netto, Guillermo Acosta Alvarez. Editorial Harla. Sexta edición, 1976. Pág 79</t>
        </r>
      </text>
    </comment>
  </commentList>
</comments>
</file>

<file path=xl/comments4.xml><?xml version="1.0" encoding="utf-8"?>
<comments xmlns="http://schemas.openxmlformats.org/spreadsheetml/2006/main">
  <authors>
    <author>SanearPC8</author>
    <author>SANEAR</author>
  </authors>
  <commentList>
    <comment ref="C55" authorId="0">
      <text>
        <r>
          <rPr>
            <sz val="8"/>
            <color indexed="81"/>
            <rFont val="Tahoma"/>
            <family val="2"/>
          </rPr>
          <t>ACUEDUCTO. Teoria y Diseño.  Freddy Corcho Romero, Jose I. Duque Serna. 
Universidad de Medellin. 1993
Pág 179</t>
        </r>
      </text>
    </comment>
    <comment ref="E58" authorId="0">
      <text>
        <r>
          <rPr>
            <sz val="8"/>
            <color indexed="81"/>
            <rFont val="Tahoma"/>
            <family val="2"/>
          </rPr>
          <t>VELOCIDAD TOMADA DEL GRAFICO (FIGURA 4.4), EN LIBRO DE FREDY CORCHO, EN PAGINA 182.
O TAMBIEN DE TABLA 4.2, PAG 179.
CUANDO NO APAREZCA EN LA TABLA, SE DEBE INTERPOLAR.</t>
        </r>
      </text>
    </comment>
    <comment ref="E99" authorId="0">
      <text>
        <r>
          <rPr>
            <sz val="8"/>
            <color indexed="81"/>
            <rFont val="Tahoma"/>
            <family val="2"/>
          </rPr>
          <t xml:space="preserve">La relación entre la velocidad horizontal y la velocidad de asentamiento vertical debe ser inferior a 20.
</t>
        </r>
      </text>
    </comment>
    <comment ref="F106" authorId="1">
      <text>
        <r>
          <rPr>
            <sz val="8"/>
            <color indexed="81"/>
            <rFont val="Tahoma"/>
            <family val="2"/>
          </rPr>
          <t>ACUEDUCTO Y ALCANTARILLADO Jorge Arturo Perez Parra. Facultad de Minas, Universidad Nacional. Primera edición, 2002
Pág 150</t>
        </r>
      </text>
    </comment>
    <comment ref="F117" authorId="0">
      <text>
        <r>
          <rPr>
            <sz val="8"/>
            <color indexed="81"/>
            <rFont val="Tahoma"/>
            <family val="2"/>
          </rPr>
          <t>ACUEDUCTO Y ALCANTARILLADO Jorge Arturo Perez Parra. Facultad de Minas, Universidad Nacional. Primera edición, 2002
Pág 177</t>
        </r>
      </text>
    </comment>
    <comment ref="C132" authorId="0">
      <text>
        <r>
          <rPr>
            <sz val="8"/>
            <color indexed="81"/>
            <rFont val="Tahoma"/>
            <family val="2"/>
          </rPr>
          <t>MANUAL DE HIDRAULICA.
J. M. Azevedo Netto, Guillermo Acosta Alvarez. Editorial Harla. Sexta edición, 1976. Pág 79</t>
        </r>
      </text>
    </comment>
  </commentList>
</comments>
</file>

<file path=xl/sharedStrings.xml><?xml version="1.0" encoding="utf-8"?>
<sst xmlns="http://schemas.openxmlformats.org/spreadsheetml/2006/main" count="712" uniqueCount="361">
  <si>
    <t>Según el RAS/2.000, se deben considerar las siguientes recomendaciones para el diseño:</t>
  </si>
  <si>
    <t>1. PARAMETROS DE DISEÑO</t>
  </si>
  <si>
    <t>TABLA 4.2  RELACION ENTRE DIAMETRO DE PARTICULAS Y VELOCIDAD DE SEDIMENTACION</t>
  </si>
  <si>
    <r>
      <t>Acueductos. Teoria y diseño</t>
    </r>
    <r>
      <rPr>
        <sz val="10"/>
        <rFont val="Arial"/>
        <family val="2"/>
      </rPr>
      <t xml:space="preserve">   Freddy Hernan Corcho </t>
    </r>
  </si>
  <si>
    <t xml:space="preserve">Material </t>
  </si>
  <si>
    <t>Numero Reynolds</t>
  </si>
  <si>
    <t>Velocidad Sedimentacion</t>
  </si>
  <si>
    <t>Regimen</t>
  </si>
  <si>
    <t>Ley Aplicada</t>
  </si>
  <si>
    <r>
      <t xml:space="preserve">f  </t>
    </r>
    <r>
      <rPr>
        <b/>
        <sz val="10"/>
        <rFont val="Arial"/>
        <family val="2"/>
      </rPr>
      <t>Particulas limites</t>
    </r>
  </si>
  <si>
    <t xml:space="preserve">Grava </t>
  </si>
  <si>
    <t>1 cm</t>
  </si>
  <si>
    <t>&gt; 10.000</t>
  </si>
  <si>
    <t>100 cm/s</t>
  </si>
  <si>
    <t>Turbulento</t>
  </si>
  <si>
    <t>Newton</t>
  </si>
  <si>
    <t>Arena gruesa y media</t>
  </si>
  <si>
    <t>0,10 cm</t>
  </si>
  <si>
    <t>0,08 cm</t>
  </si>
  <si>
    <t>0,05 cm</t>
  </si>
  <si>
    <t>0,04 cm</t>
  </si>
  <si>
    <t>0,03 cm</t>
  </si>
  <si>
    <t>0,02 cm</t>
  </si>
  <si>
    <t>10,0 cm/s</t>
  </si>
  <si>
    <t>8,3 cm/s</t>
  </si>
  <si>
    <t>6,3 cm/s</t>
  </si>
  <si>
    <t>5,3 cm/s</t>
  </si>
  <si>
    <t>4,2 cm/s</t>
  </si>
  <si>
    <t>3,2 cm/s</t>
  </si>
  <si>
    <t>2,1 cm/s</t>
  </si>
  <si>
    <t>1,5 cm/s</t>
  </si>
  <si>
    <t>Transicion</t>
  </si>
  <si>
    <t>Allen</t>
  </si>
  <si>
    <t>0,015 cm</t>
  </si>
  <si>
    <t>Arena fina</t>
  </si>
  <si>
    <t>0,010 cm</t>
  </si>
  <si>
    <t>0,008 cm</t>
  </si>
  <si>
    <t>0,006 cm</t>
  </si>
  <si>
    <t>0,005 cm</t>
  </si>
  <si>
    <t>0,004 cm</t>
  </si>
  <si>
    <t>0,003 cm</t>
  </si>
  <si>
    <t>0,002 cm</t>
  </si>
  <si>
    <t>0,001 cm</t>
  </si>
  <si>
    <t>&lt; 1,0</t>
  </si>
  <si>
    <t>0,8 cm/s</t>
  </si>
  <si>
    <t>0,6 cm/s</t>
  </si>
  <si>
    <t>0,4 cm/s</t>
  </si>
  <si>
    <t>0,3 cm/s</t>
  </si>
  <si>
    <t>0,2 cm/s</t>
  </si>
  <si>
    <t>0,13 cm/s</t>
  </si>
  <si>
    <t>0,06 cm/s</t>
  </si>
  <si>
    <t>0,015 cm/s</t>
  </si>
  <si>
    <t>Laminar</t>
  </si>
  <si>
    <t>Stokes</t>
  </si>
  <si>
    <t>m</t>
  </si>
  <si>
    <r>
      <t>m/s</t>
    </r>
    <r>
      <rPr>
        <vertAlign val="superscript"/>
        <sz val="10"/>
        <rFont val="Arial"/>
        <family val="2"/>
      </rPr>
      <t>2</t>
    </r>
  </si>
  <si>
    <r>
      <t>Q</t>
    </r>
    <r>
      <rPr>
        <b/>
        <vertAlign val="subscript"/>
        <sz val="10"/>
        <rFont val="Arial"/>
        <family val="2"/>
      </rPr>
      <t>C</t>
    </r>
    <r>
      <rPr>
        <b/>
        <sz val="10"/>
        <rFont val="Arial"/>
        <family val="2"/>
      </rPr>
      <t>= [ ( C * e * b</t>
    </r>
    <r>
      <rPr>
        <b/>
        <vertAlign val="superscript"/>
        <sz val="10"/>
        <rFont val="Arial"/>
        <family val="2"/>
      </rPr>
      <t>2/3</t>
    </r>
    <r>
      <rPr>
        <b/>
        <sz val="10"/>
        <rFont val="Arial"/>
        <family val="2"/>
      </rPr>
      <t xml:space="preserve"> * (2g)</t>
    </r>
    <r>
      <rPr>
        <b/>
        <vertAlign val="superscript"/>
        <sz val="10"/>
        <rFont val="Arial"/>
        <family val="2"/>
      </rPr>
      <t>1/2</t>
    </r>
    <r>
      <rPr>
        <b/>
        <sz val="10"/>
        <rFont val="Arial"/>
        <family val="2"/>
      </rPr>
      <t xml:space="preserve"> * L ) / ( C`</t>
    </r>
    <r>
      <rPr>
        <b/>
        <vertAlign val="superscript"/>
        <sz val="10"/>
        <rFont val="Arial"/>
        <family val="2"/>
      </rPr>
      <t xml:space="preserve">1/3 </t>
    </r>
    <r>
      <rPr>
        <b/>
        <sz val="10"/>
        <rFont val="Arial"/>
        <family val="2"/>
      </rPr>
      <t>) ]</t>
    </r>
    <r>
      <rPr>
        <b/>
        <vertAlign val="superscript"/>
        <sz val="10"/>
        <rFont val="Arial"/>
        <family val="2"/>
      </rPr>
      <t>3/2</t>
    </r>
  </si>
  <si>
    <t xml:space="preserve">b = Ancho de la Cresta del Vertedero, b = </t>
  </si>
  <si>
    <r>
      <t>Q</t>
    </r>
    <r>
      <rPr>
        <b/>
        <vertAlign val="subscript"/>
        <sz val="10"/>
        <rFont val="Arial"/>
        <family val="2"/>
      </rPr>
      <t>C</t>
    </r>
    <r>
      <rPr>
        <b/>
        <sz val="10"/>
        <rFont val="Arial"/>
        <family val="2"/>
      </rPr>
      <t xml:space="preserve"> =</t>
    </r>
  </si>
  <si>
    <r>
      <t>Q</t>
    </r>
    <r>
      <rPr>
        <vertAlign val="subscript"/>
        <sz val="10"/>
        <rFont val="Arial"/>
        <family val="2"/>
      </rPr>
      <t xml:space="preserve"> </t>
    </r>
    <r>
      <rPr>
        <sz val="10"/>
        <rFont val="Arial"/>
        <family val="2"/>
      </rPr>
      <t>= Caudal Máximo de Captación,   Q</t>
    </r>
    <r>
      <rPr>
        <vertAlign val="subscript"/>
        <sz val="10"/>
        <rFont val="Arial"/>
        <family val="2"/>
      </rPr>
      <t xml:space="preserve">C </t>
    </r>
    <r>
      <rPr>
        <sz val="10"/>
        <rFont val="Arial"/>
        <family val="2"/>
      </rPr>
      <t>=</t>
    </r>
  </si>
  <si>
    <r>
      <t>m</t>
    </r>
    <r>
      <rPr>
        <vertAlign val="superscript"/>
        <sz val="10"/>
        <rFont val="Arial"/>
        <family val="2"/>
      </rPr>
      <t>3</t>
    </r>
    <r>
      <rPr>
        <sz val="10"/>
        <rFont val="Arial"/>
        <family val="2"/>
      </rPr>
      <t>/s</t>
    </r>
  </si>
  <si>
    <r>
      <t>m</t>
    </r>
    <r>
      <rPr>
        <vertAlign val="superscript"/>
        <sz val="10"/>
        <rFont val="Arial"/>
        <family val="2"/>
      </rPr>
      <t>2</t>
    </r>
  </si>
  <si>
    <r>
      <t xml:space="preserve">H = Altura del Vertedero,                   </t>
    </r>
    <r>
      <rPr>
        <b/>
        <sz val="10"/>
        <rFont val="Arial"/>
        <family val="2"/>
      </rPr>
      <t xml:space="preserve">H = </t>
    </r>
  </si>
  <si>
    <t>A =</t>
  </si>
  <si>
    <t>cm</t>
  </si>
  <si>
    <t>%</t>
  </si>
  <si>
    <t>cm/s</t>
  </si>
  <si>
    <t>s</t>
  </si>
  <si>
    <t>TABLA DE PESO ESPECIFICO  Y VISCOSIDADES DEL AGUA</t>
  </si>
  <si>
    <t>PARA DIFERENTES TEMPERATURAS</t>
  </si>
  <si>
    <t>Temperatura
(º C)</t>
  </si>
  <si>
    <t>Viscosidad 
Absoluta
(g/cm-s)</t>
  </si>
  <si>
    <r>
      <t>Peso Específico
(Kgf/m</t>
    </r>
    <r>
      <rPr>
        <vertAlign val="superscript"/>
        <sz val="10"/>
        <rFont val="Arial"/>
        <family val="2"/>
      </rPr>
      <t>3</t>
    </r>
    <r>
      <rPr>
        <sz val="10"/>
        <rFont val="Arial"/>
        <family val="2"/>
      </rPr>
      <t>)</t>
    </r>
  </si>
  <si>
    <r>
      <t>Viscosidad
Absoluta
(Kgf-s/m</t>
    </r>
    <r>
      <rPr>
        <vertAlign val="superscript"/>
        <sz val="10"/>
        <rFont val="Arial"/>
        <family val="2"/>
      </rPr>
      <t>3</t>
    </r>
    <r>
      <rPr>
        <sz val="10"/>
        <rFont val="Arial"/>
        <family val="2"/>
      </rPr>
      <t>)</t>
    </r>
  </si>
  <si>
    <r>
      <t>Viscosidad
Cinematica
(cm</t>
    </r>
    <r>
      <rPr>
        <vertAlign val="superscript"/>
        <sz val="10"/>
        <rFont val="Arial"/>
        <family val="2"/>
      </rPr>
      <t>2</t>
    </r>
    <r>
      <rPr>
        <sz val="10"/>
        <rFont val="Arial"/>
        <family val="2"/>
      </rPr>
      <t>/s)</t>
    </r>
  </si>
  <si>
    <t>* Viscosidad Cinemática del Agua                 µ =</t>
  </si>
  <si>
    <t>* Tamaño de Partícula                                  d =</t>
  </si>
  <si>
    <t>* Porcentaje de Remoción                         %R =</t>
  </si>
  <si>
    <t>* Aceleración de la Gravedad                       g  =</t>
  </si>
  <si>
    <t xml:space="preserve">Tiempo de Retención Hidráulica,                a =  </t>
  </si>
  <si>
    <t xml:space="preserve">Eficiencia = </t>
  </si>
  <si>
    <t xml:space="preserve">Malos deflectores o sin ellos  </t>
  </si>
  <si>
    <t xml:space="preserve">NUMERO DE HAZEN </t>
  </si>
  <si>
    <t>Deflectores Buenos</t>
  </si>
  <si>
    <t>Muy Buenos Deflectores</t>
  </si>
  <si>
    <t>Defina el grado del desarenador =</t>
  </si>
  <si>
    <t>Dimensiones del Desarenador</t>
  </si>
  <si>
    <t>un</t>
  </si>
  <si>
    <t>Donde:</t>
  </si>
  <si>
    <t xml:space="preserve">* Profundidad Util                                   </t>
  </si>
  <si>
    <t xml:space="preserve"> (Hu) =</t>
  </si>
  <si>
    <t xml:space="preserve">* Largo Util                                              </t>
  </si>
  <si>
    <t>(Lu) =</t>
  </si>
  <si>
    <t xml:space="preserve">* Ancho Util                                             </t>
  </si>
  <si>
    <t>(Au) =</t>
  </si>
  <si>
    <t xml:space="preserve"> Vt =</t>
  </si>
  <si>
    <t xml:space="preserve">Volumen del Desarenador                    </t>
  </si>
  <si>
    <t>Tiempo de Sedimentación,           t = Hu/Vsp  =</t>
  </si>
  <si>
    <t>D = Diámetro del Orificio</t>
  </si>
  <si>
    <t>D =</t>
  </si>
  <si>
    <t>C = Coeficiente de Descarga</t>
  </si>
  <si>
    <t>C =</t>
  </si>
  <si>
    <t>H = Carga hidráulica sobre el orificio</t>
  </si>
  <si>
    <t>H =</t>
  </si>
  <si>
    <t xml:space="preserve">g = Aceleración de la gravedad </t>
  </si>
  <si>
    <t>g =</t>
  </si>
  <si>
    <t>Re =</t>
  </si>
  <si>
    <t>Donde :</t>
  </si>
  <si>
    <t>d =</t>
  </si>
  <si>
    <t>Vs =</t>
  </si>
  <si>
    <t>µ =</t>
  </si>
  <si>
    <t>Número de Reynolds</t>
  </si>
  <si>
    <t>Velocidad de sedimentación; (cm/s)</t>
  </si>
  <si>
    <t>Diámetro partícula; (cm)</t>
  </si>
  <si>
    <t xml:space="preserve">Eficiencia Condiciones </t>
  </si>
  <si>
    <t>pulg</t>
  </si>
  <si>
    <t>Se revisará la altura de la lámina de agua que debe estar sobre el vertedero central de la bocatoma; para tener la capacidad de captar todo el caudal estimado que puede pasar por la reja; para lo anterior, se usará la fórmula de Francis.</t>
  </si>
  <si>
    <t>Qc =</t>
  </si>
  <si>
    <t>min</t>
  </si>
  <si>
    <t>*  Caudal en el desarenador ; Q =</t>
  </si>
  <si>
    <t>*  Ancho útil del desarenador; Au =</t>
  </si>
  <si>
    <t>*  Profundidad útil del desarenador; Hu =</t>
  </si>
  <si>
    <t>m/s</t>
  </si>
  <si>
    <t>Q = Vt / a</t>
  </si>
  <si>
    <t>Qc = Caudal Máximo de Captación</t>
  </si>
  <si>
    <r>
      <t>Q = C x A x ( 2 x g x H^</t>
    </r>
    <r>
      <rPr>
        <b/>
        <vertAlign val="superscript"/>
        <sz val="10"/>
        <rFont val="Arial"/>
        <family val="2"/>
      </rPr>
      <t>3/2</t>
    </r>
    <r>
      <rPr>
        <b/>
        <sz val="10"/>
        <rFont val="Arial"/>
        <family val="2"/>
      </rPr>
      <t xml:space="preserve"> )^</t>
    </r>
    <r>
      <rPr>
        <b/>
        <vertAlign val="superscript"/>
        <sz val="10"/>
        <rFont val="Arial"/>
        <family val="2"/>
      </rPr>
      <t>1/2</t>
    </r>
  </si>
  <si>
    <t>Para realizar el chequeo del caudal máximo de captación en la rejilla, se utilizará la siguiente expresión teórica:</t>
  </si>
  <si>
    <t>A = Área Seccional</t>
  </si>
  <si>
    <t>ºC</t>
  </si>
  <si>
    <t>L/s</t>
  </si>
  <si>
    <t>* Temperatura del Agua,                               T  =</t>
  </si>
  <si>
    <t>Se utillizará la ecuación de STOKES para hallar la velocidad de sedimentación:</t>
  </si>
  <si>
    <t xml:space="preserve">   (B.4.4.6.3  RAS/2000)</t>
  </si>
  <si>
    <t>* Desarenadores con buenos deflectores (Flinn, Weston, Bogart) a / t =</t>
  </si>
  <si>
    <t>cm/s =</t>
  </si>
  <si>
    <t>Densidad de los granos sumergidos, Arena; Ss=</t>
  </si>
  <si>
    <t>diámetro, Ø=</t>
  </si>
  <si>
    <r>
      <t>Q</t>
    </r>
    <r>
      <rPr>
        <vertAlign val="subscript"/>
        <sz val="10"/>
        <rFont val="Arial"/>
        <family val="2"/>
      </rPr>
      <t>C:</t>
    </r>
    <r>
      <rPr>
        <sz val="10"/>
        <rFont val="Arial"/>
        <family val="2"/>
      </rPr>
      <t xml:space="preserve"> Caudal Máximo de Captación </t>
    </r>
  </si>
  <si>
    <t xml:space="preserve">C: Coeficiente de Descarga para Rejas Inclinadas,  C = </t>
  </si>
  <si>
    <r>
      <t>e: Relación de Vacíos en la Reja,  e = ((N</t>
    </r>
    <r>
      <rPr>
        <vertAlign val="subscript"/>
        <sz val="10"/>
        <rFont val="Arial"/>
        <family val="2"/>
      </rPr>
      <t>b</t>
    </r>
    <r>
      <rPr>
        <sz val="10"/>
        <rFont val="Arial"/>
        <family val="2"/>
      </rPr>
      <t>+1) x e</t>
    </r>
    <r>
      <rPr>
        <vertAlign val="subscript"/>
        <sz val="10"/>
        <rFont val="Arial"/>
        <family val="2"/>
      </rPr>
      <t>b</t>
    </r>
    <r>
      <rPr>
        <sz val="10"/>
        <rFont val="Arial"/>
        <family val="2"/>
      </rPr>
      <t>)/L =</t>
    </r>
  </si>
  <si>
    <r>
      <t>e</t>
    </r>
    <r>
      <rPr>
        <vertAlign val="subscript"/>
        <sz val="10"/>
        <rFont val="Arial"/>
        <family val="2"/>
      </rPr>
      <t>b:</t>
    </r>
    <r>
      <rPr>
        <sz val="10"/>
        <rFont val="Arial"/>
        <family val="2"/>
      </rPr>
      <t xml:space="preserve"> Espacio entre barras,                                     e</t>
    </r>
    <r>
      <rPr>
        <vertAlign val="subscript"/>
        <sz val="10"/>
        <rFont val="Arial"/>
        <family val="2"/>
      </rPr>
      <t>b</t>
    </r>
    <r>
      <rPr>
        <sz val="10"/>
        <rFont val="Arial"/>
        <family val="2"/>
      </rPr>
      <t xml:space="preserve"> = </t>
    </r>
  </si>
  <si>
    <t xml:space="preserve">L: Longitud de la Reja,                                          L = </t>
  </si>
  <si>
    <r>
      <t>N</t>
    </r>
    <r>
      <rPr>
        <vertAlign val="subscript"/>
        <sz val="10"/>
        <rFont val="Arial"/>
        <family val="2"/>
      </rPr>
      <t>b:</t>
    </r>
    <r>
      <rPr>
        <sz val="10"/>
        <rFont val="Arial"/>
        <family val="2"/>
      </rPr>
      <t xml:space="preserve"> Número de Barras,                                         N</t>
    </r>
    <r>
      <rPr>
        <vertAlign val="subscript"/>
        <sz val="10"/>
        <rFont val="Arial"/>
        <family val="2"/>
      </rPr>
      <t xml:space="preserve">b </t>
    </r>
    <r>
      <rPr>
        <sz val="10"/>
        <rFont val="Arial"/>
        <family val="2"/>
      </rPr>
      <t>=</t>
    </r>
  </si>
  <si>
    <t>g: Aceleración de la Gravedad,                               g =</t>
  </si>
  <si>
    <t xml:space="preserve">C`: Constante                                                      C` = </t>
  </si>
  <si>
    <t xml:space="preserve">n = Coeficiente de Rugosidad del Canal </t>
  </si>
  <si>
    <t>n =</t>
  </si>
  <si>
    <t xml:space="preserve">S = Pendiente del Canal </t>
  </si>
  <si>
    <t>S =</t>
  </si>
  <si>
    <t>m/m</t>
  </si>
  <si>
    <t>4. TUBERIA DE ADUCCIÓN</t>
  </si>
  <si>
    <t>RESPONSABLE</t>
  </si>
  <si>
    <t>NOMBRE</t>
  </si>
  <si>
    <t>FIRMA</t>
  </si>
  <si>
    <t>FECHA</t>
  </si>
  <si>
    <t>Interpolar a 0,075 cm</t>
  </si>
  <si>
    <t>ELABORO</t>
  </si>
  <si>
    <t>REVISO</t>
  </si>
  <si>
    <t>VERIFICO</t>
  </si>
  <si>
    <t>VALIDO</t>
  </si>
  <si>
    <t xml:space="preserve">b: Ancho util de la Reja,                                        b = </t>
  </si>
  <si>
    <r>
      <t>m</t>
    </r>
    <r>
      <rPr>
        <b/>
        <vertAlign val="superscript"/>
        <sz val="10"/>
        <rFont val="Arial"/>
        <family val="2"/>
      </rPr>
      <t>3</t>
    </r>
    <r>
      <rPr>
        <b/>
        <sz val="10"/>
        <rFont val="Arial"/>
        <family val="2"/>
      </rPr>
      <t>/s</t>
    </r>
  </si>
  <si>
    <t>La ecuación fue tomada del libro Acueducto, teoria y diseño de Freddy Corcho e Ignacio Duque. Ecuación 2.69 página 103.</t>
  </si>
  <si>
    <r>
      <t>Q</t>
    </r>
    <r>
      <rPr>
        <b/>
        <vertAlign val="subscript"/>
        <sz val="10"/>
        <rFont val="Arial"/>
        <family val="2"/>
      </rPr>
      <t>C</t>
    </r>
    <r>
      <rPr>
        <b/>
        <sz val="10"/>
        <rFont val="Arial"/>
        <family val="2"/>
      </rPr>
      <t xml:space="preserve"> = 1,834 x b x H</t>
    </r>
    <r>
      <rPr>
        <b/>
        <vertAlign val="superscript"/>
        <sz val="10"/>
        <rFont val="Arial"/>
        <family val="2"/>
      </rPr>
      <t>3/2</t>
    </r>
  </si>
  <si>
    <t xml:space="preserve">b = Ancho de la Cresta del Vertedero,   b = </t>
  </si>
  <si>
    <t xml:space="preserve">H = Altura del Vertedero,                      H = </t>
  </si>
  <si>
    <t>PVC</t>
  </si>
  <si>
    <r>
      <t>Q</t>
    </r>
    <r>
      <rPr>
        <vertAlign val="subscript"/>
        <sz val="10"/>
        <rFont val="Arial"/>
        <family val="2"/>
      </rPr>
      <t xml:space="preserve"> </t>
    </r>
    <r>
      <rPr>
        <sz val="10"/>
        <rFont val="Arial"/>
        <family val="2"/>
      </rPr>
      <t xml:space="preserve">= Caudal Máximo de Captación,       </t>
    </r>
    <r>
      <rPr>
        <b/>
        <sz val="10"/>
        <rFont val="Arial"/>
        <family val="2"/>
      </rPr>
      <t>Q</t>
    </r>
    <r>
      <rPr>
        <b/>
        <vertAlign val="subscript"/>
        <sz val="10"/>
        <rFont val="Arial"/>
        <family val="2"/>
      </rPr>
      <t xml:space="preserve">C </t>
    </r>
    <r>
      <rPr>
        <b/>
        <sz val="10"/>
        <rFont val="Arial"/>
        <family val="2"/>
      </rPr>
      <t>=</t>
    </r>
  </si>
  <si>
    <t>La bocatoma no cuenta con vertedero de crecida por lo que en el momento que se presenta el caudal de creciente rebosará sobre la presa.</t>
  </si>
  <si>
    <t>A = Area de la tubería</t>
  </si>
  <si>
    <t>D = Diámetro de la tubería</t>
  </si>
  <si>
    <t xml:space="preserve">OBRAS HIDRAULICAS RURALES. Ing Hernan Materon Muñoz. A27 Universidad del Valle. Cuarta edicion,1991 
 Pág 3.69 - 3.77) </t>
  </si>
  <si>
    <t>MANUAL DE HIDRAULICA. J. M. Azevedo Netto, Guillermo Acosta Alvarez. Editorial Harla. Sexta edición, 1976.  Pág 79</t>
  </si>
  <si>
    <r>
      <t>H = [ Q</t>
    </r>
    <r>
      <rPr>
        <b/>
        <vertAlign val="subscript"/>
        <sz val="10"/>
        <rFont val="Arial"/>
        <family val="2"/>
      </rPr>
      <t>C</t>
    </r>
    <r>
      <rPr>
        <b/>
        <sz val="10"/>
        <rFont val="Arial"/>
        <family val="2"/>
      </rPr>
      <t xml:space="preserve"> / (1,834 x b) ]</t>
    </r>
    <r>
      <rPr>
        <b/>
        <vertAlign val="superscript"/>
        <sz val="10"/>
        <rFont val="Arial"/>
        <family val="2"/>
      </rPr>
      <t xml:space="preserve">2/3  </t>
    </r>
    <r>
      <rPr>
        <b/>
        <sz val="10"/>
        <rFont val="Arial"/>
        <family val="2"/>
      </rPr>
      <t xml:space="preserve"> -  Fórmula de Francis</t>
    </r>
  </si>
  <si>
    <t>La tubería que sale de la caja de derivación y que se encuentra en el fondo de la caja, corresponde a la línea de aducción entre la captación y el desarenador Angostura. Utilizando la expresión del tubo sujeto a descarga libre; se evaluará la capacidad hi</t>
  </si>
  <si>
    <r>
      <t>Ø</t>
    </r>
    <r>
      <rPr>
        <vertAlign val="subscript"/>
        <sz val="10"/>
        <rFont val="Arial"/>
        <family val="2"/>
      </rPr>
      <t>b:</t>
    </r>
    <r>
      <rPr>
        <sz val="10"/>
        <rFont val="Arial"/>
        <family val="2"/>
      </rPr>
      <t xml:space="preserve"> Diámetro de Barras,                             Ø</t>
    </r>
    <r>
      <rPr>
        <vertAlign val="subscript"/>
        <sz val="10"/>
        <rFont val="Arial"/>
        <family val="2"/>
      </rPr>
      <t>b</t>
    </r>
    <r>
      <rPr>
        <sz val="10"/>
        <rFont val="Arial"/>
        <family val="2"/>
      </rPr>
      <t xml:space="preserve"> = 1/2" = </t>
    </r>
  </si>
  <si>
    <t xml:space="preserve">C: Coeficiente de Descarga para Reja paralela y horizonatal,                                                         C = </t>
  </si>
  <si>
    <t>La captación de agua que se realiza sobre la Quebrada La Marinera, consiste en una bocatoma de fondo con rejilla dispuesta a un lado de la estructura. A continuación se efectuará el chequeo hidráulico de los diferentes elementos que componen el sistema.</t>
  </si>
  <si>
    <t>Como el vertedero de captación cuenta con una altura h=0,09 m, esté solamente podrá captar:</t>
  </si>
  <si>
    <r>
      <t>La captación es una bocatoma de fondo, cuya presa, construida en concreto reforzado, cuenta con un vertedero de captación de L = 0,27 m; a =</t>
    </r>
    <r>
      <rPr>
        <sz val="10"/>
        <color indexed="10"/>
        <rFont val="Arial"/>
        <family val="2"/>
      </rPr>
      <t xml:space="preserve"> </t>
    </r>
    <r>
      <rPr>
        <sz val="10"/>
        <rFont val="Arial"/>
        <family val="2"/>
      </rPr>
      <t>0,54m y h = 0,09 m sobre el cual se instaló una rejilla de sección de 0,30m x 0,30m y 10 varillas Ø1/2" espaciadas cada 1,25 cm en un solo cuerpo.</t>
    </r>
  </si>
  <si>
    <t>Las partículas menores a 0,075mm son difíciles de remover y requieren una estructura de mayor longitud, así como de tiempos de retención hidráulicos muy grandes lo que no es economicamente viable.</t>
  </si>
  <si>
    <t xml:space="preserve">Los parámetros básicos para realizar el chequeo son: Velocidad de sedimentación, Tiempo de sedimentación, Tiempo de retención hidráulica, Capacidad hidraulica, Velocidad horizontal, Velocidad de arrastre y el Numero de Reynolds   </t>
  </si>
  <si>
    <t>a) La capacidad máxima de captación de la bocatoma es de 15 L/s</t>
  </si>
  <si>
    <t>No existe como tal una estructura que funcione como un canal de derivación, solo se encuentra un pequeño paso en tuberia de PVC-P Ø4" que comunica la rejilla con dos pequeñas tanquetillas que actúan como cámara de retención de sólidos gruesos y de allí el agua sale hacia el desarenador de Santa Clara en tubería de PVC-P Ø4". De acuerdo con lo anterior, no se efectuará chequeo hidráulico para la derivación.</t>
  </si>
  <si>
    <t>2. REJILLA DE CAPTACIÓN DE LA BOCATOMA</t>
  </si>
  <si>
    <t xml:space="preserve">3. VERTEDERO CENTRAL </t>
  </si>
  <si>
    <t xml:space="preserve">4. VERTEDERO PARA CRECIDAS </t>
  </si>
  <si>
    <t>6. CONCLUSIONES Y RECOMENDACIONES</t>
  </si>
  <si>
    <t>1. INTRODUCCIÓN.</t>
  </si>
  <si>
    <t xml:space="preserve">5. CANAL DE DERIVACIÓN  </t>
  </si>
  <si>
    <t>(B.4.4.6.3 RAS/2000)</t>
  </si>
  <si>
    <t>(B.4.4.6.5 RAS/2000)</t>
  </si>
  <si>
    <t>(B.4.4.6.3  RAS/2000)</t>
  </si>
  <si>
    <t>b) La bocatoma debe impermeabilizarse y corregirse la fisuración del fondo de la presa para evitar la fuga de caudal.</t>
  </si>
  <si>
    <t>ANEXO 3.2.1.2  REVISIÓN DE LA CAPACIDAD HIDRÁULICA DE LA 
CAPTACIÓN SOBRE LA QUEBRADA LA MARINERA (AFLUENTE DE SANTA CLARA)</t>
  </si>
  <si>
    <t>El RAS/2000 considera que se deben retener partículas de arena fina (0,10 - 0,25mm), pero la experiencia y la literatura determinan que es necesario retener partÍculas en suspensión que tienen un diámetro mayor de 0,075mm (limo fino), para que no se presenten problemas en las tuberías que conducen el agua sin tratar y dificultades posteriores en el tratamiento del agua, ya que estas partículas con diámetros mayores a 0,01mm se precipitarian en el floculador y sedimentador, por lo que se requeriría períodos de limpieza y mantenimiento más cortos, lo cual afectaría el suministro de agua a la población.</t>
  </si>
  <si>
    <r>
      <t>Q</t>
    </r>
    <r>
      <rPr>
        <vertAlign val="subscript"/>
        <sz val="10"/>
        <rFont val="Calibri"/>
        <family val="2"/>
        <scheme val="minor"/>
      </rPr>
      <t>C:</t>
    </r>
    <r>
      <rPr>
        <sz val="10"/>
        <rFont val="Calibri"/>
        <family val="2"/>
        <scheme val="minor"/>
      </rPr>
      <t xml:space="preserve"> Caudal Máximo de Captación </t>
    </r>
  </si>
  <si>
    <r>
      <t>e: Relación de Vacíos en la Reja,  e = ((N</t>
    </r>
    <r>
      <rPr>
        <vertAlign val="subscript"/>
        <sz val="10"/>
        <rFont val="Calibri"/>
        <family val="2"/>
        <scheme val="minor"/>
      </rPr>
      <t>b</t>
    </r>
    <r>
      <rPr>
        <sz val="10"/>
        <rFont val="Calibri"/>
        <family val="2"/>
        <scheme val="minor"/>
      </rPr>
      <t>+1) x e</t>
    </r>
    <r>
      <rPr>
        <vertAlign val="subscript"/>
        <sz val="10"/>
        <rFont val="Calibri"/>
        <family val="2"/>
        <scheme val="minor"/>
      </rPr>
      <t>b</t>
    </r>
    <r>
      <rPr>
        <sz val="10"/>
        <rFont val="Calibri"/>
        <family val="2"/>
        <scheme val="minor"/>
      </rPr>
      <t>)/L =</t>
    </r>
  </si>
  <si>
    <r>
      <t>e</t>
    </r>
    <r>
      <rPr>
        <vertAlign val="subscript"/>
        <sz val="10"/>
        <rFont val="Calibri"/>
        <family val="2"/>
        <scheme val="minor"/>
      </rPr>
      <t>b:</t>
    </r>
    <r>
      <rPr>
        <sz val="10"/>
        <rFont val="Calibri"/>
        <family val="2"/>
        <scheme val="minor"/>
      </rPr>
      <t xml:space="preserve"> Espacio entre barras,                                     e</t>
    </r>
    <r>
      <rPr>
        <vertAlign val="subscript"/>
        <sz val="10"/>
        <rFont val="Calibri"/>
        <family val="2"/>
        <scheme val="minor"/>
      </rPr>
      <t>b</t>
    </r>
    <r>
      <rPr>
        <sz val="10"/>
        <rFont val="Calibri"/>
        <family val="2"/>
        <scheme val="minor"/>
      </rPr>
      <t xml:space="preserve"> = </t>
    </r>
  </si>
  <si>
    <r>
      <t>N</t>
    </r>
    <r>
      <rPr>
        <vertAlign val="subscript"/>
        <sz val="10"/>
        <rFont val="Calibri"/>
        <family val="2"/>
        <scheme val="minor"/>
      </rPr>
      <t>b:</t>
    </r>
    <r>
      <rPr>
        <sz val="10"/>
        <rFont val="Calibri"/>
        <family val="2"/>
        <scheme val="minor"/>
      </rPr>
      <t xml:space="preserve"> Número de Barras,                                         N</t>
    </r>
    <r>
      <rPr>
        <vertAlign val="subscript"/>
        <sz val="10"/>
        <rFont val="Calibri"/>
        <family val="2"/>
        <scheme val="minor"/>
      </rPr>
      <t xml:space="preserve">b </t>
    </r>
    <r>
      <rPr>
        <sz val="10"/>
        <rFont val="Calibri"/>
        <family val="2"/>
        <scheme val="minor"/>
      </rPr>
      <t>=</t>
    </r>
  </si>
  <si>
    <r>
      <t>m/s</t>
    </r>
    <r>
      <rPr>
        <vertAlign val="superscript"/>
        <sz val="10"/>
        <rFont val="Calibri"/>
        <family val="2"/>
        <scheme val="minor"/>
      </rPr>
      <t>2</t>
    </r>
  </si>
  <si>
    <r>
      <t>Q</t>
    </r>
    <r>
      <rPr>
        <b/>
        <vertAlign val="subscript"/>
        <sz val="10"/>
        <rFont val="Calibri"/>
        <family val="2"/>
        <scheme val="minor"/>
      </rPr>
      <t>C</t>
    </r>
    <r>
      <rPr>
        <b/>
        <sz val="10"/>
        <rFont val="Calibri"/>
        <family val="2"/>
        <scheme val="minor"/>
      </rPr>
      <t xml:space="preserve"> =</t>
    </r>
  </si>
  <si>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</si>
  <si>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m</t>
    </r>
    <r>
      <rPr>
        <vertAlign val="superscript"/>
        <sz val="10"/>
        <rFont val="Calibri"/>
        <family val="2"/>
        <scheme val="minor"/>
      </rPr>
      <t>3</t>
    </r>
    <r>
      <rPr>
        <sz val="10"/>
        <rFont val="Calibri"/>
        <family val="2"/>
        <scheme val="minor"/>
      </rPr>
      <t>/s</t>
    </r>
  </si>
  <si>
    <r>
      <t xml:space="preserve">H = Altura del Vertedero,                   </t>
    </r>
    <r>
      <rPr>
        <b/>
        <sz val="10"/>
        <rFont val="Calibri"/>
        <family val="2"/>
        <scheme val="minor"/>
      </rPr>
      <t xml:space="preserve">H = </t>
    </r>
  </si>
  <si>
    <r>
      <t>Q</t>
    </r>
    <r>
      <rPr>
        <vertAlign val="subscript"/>
        <sz val="10"/>
        <rFont val="Calibri"/>
        <family val="2"/>
        <scheme val="minor"/>
      </rPr>
      <t xml:space="preserve"> </t>
    </r>
    <r>
      <rPr>
        <sz val="10"/>
        <rFont val="Calibri"/>
        <family val="2"/>
        <scheme val="minor"/>
      </rPr>
      <t xml:space="preserve">= Caudal Máximo de Captación,       </t>
    </r>
    <r>
      <rPr>
        <b/>
        <sz val="10"/>
        <rFont val="Calibri"/>
        <family val="2"/>
        <scheme val="minor"/>
      </rPr>
      <t>Q</t>
    </r>
    <r>
      <rPr>
        <b/>
        <vertAlign val="subscript"/>
        <sz val="10"/>
        <rFont val="Calibri"/>
        <family val="2"/>
        <scheme val="minor"/>
      </rPr>
      <t xml:space="preserve">C </t>
    </r>
    <r>
      <rPr>
        <b/>
        <sz val="10"/>
        <rFont val="Calibri"/>
        <family val="2"/>
        <scheme val="minor"/>
      </rPr>
      <t>=</t>
    </r>
  </si>
  <si>
    <r>
      <t>m</t>
    </r>
    <r>
      <rPr>
        <vertAlign val="superscript"/>
        <sz val="10"/>
        <rFont val="Calibri"/>
        <family val="2"/>
        <scheme val="minor"/>
      </rPr>
      <t>2</t>
    </r>
  </si>
  <si>
    <r>
      <t>R</t>
    </r>
    <r>
      <rPr>
        <vertAlign val="subscript"/>
        <sz val="10"/>
        <rFont val="Calibri"/>
        <family val="2"/>
        <scheme val="minor"/>
      </rPr>
      <t xml:space="preserve">H </t>
    </r>
    <r>
      <rPr>
        <sz val="10"/>
        <rFont val="Calibri"/>
        <family val="2"/>
        <scheme val="minor"/>
      </rPr>
      <t>= Radio Hidráulico</t>
    </r>
  </si>
  <si>
    <r>
      <t>R</t>
    </r>
    <r>
      <rPr>
        <vertAlign val="subscript"/>
        <sz val="10"/>
        <rFont val="Calibri"/>
        <family val="2"/>
        <scheme val="minor"/>
      </rPr>
      <t>H</t>
    </r>
    <r>
      <rPr>
        <sz val="10"/>
        <rFont val="Calibri"/>
        <family val="2"/>
        <scheme val="minor"/>
      </rPr>
      <t xml:space="preserve"> = </t>
    </r>
  </si>
  <si>
    <t>1. INTRODUCCIÓN Y DESCRIPCIÓN</t>
  </si>
  <si>
    <t>2.1 Evaluación hidráulica de la rejilla de captación</t>
  </si>
  <si>
    <t>Para realizar el chequeo del caudal máximo de captación en la rejilla se tendrá en cuenta su geometría y sus diferentes componentes; para tal fin, se utilizará la siguiente expresión teórica:</t>
  </si>
  <si>
    <t>2. MEMORIAS DE EVALUACIÓN HIDRÁULICA</t>
  </si>
  <si>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2)</t>
    </r>
  </si>
  <si>
    <r>
      <t>Ø</t>
    </r>
    <r>
      <rPr>
        <vertAlign val="subscript"/>
        <sz val="10"/>
        <rFont val="Calibri"/>
        <family val="2"/>
        <scheme val="minor"/>
      </rPr>
      <t>b:</t>
    </r>
    <r>
      <rPr>
        <sz val="10"/>
        <rFont val="Calibri"/>
        <family val="2"/>
        <scheme val="minor"/>
      </rPr>
      <t xml:space="preserve"> Diámetro de Barras,                             Ø</t>
    </r>
    <r>
      <rPr>
        <vertAlign val="subscript"/>
        <sz val="10"/>
        <rFont val="Calibri"/>
        <family val="2"/>
        <scheme val="minor"/>
      </rPr>
      <t>b</t>
    </r>
    <r>
      <rPr>
        <sz val="10"/>
        <rFont val="Calibri"/>
        <family val="2"/>
        <scheme val="minor"/>
      </rPr>
      <t xml:space="preserve"> = 1/2" = </t>
    </r>
  </si>
  <si>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3)</t>
    </r>
  </si>
  <si>
    <r>
      <t>Q</t>
    </r>
    <r>
      <rPr>
        <b/>
        <vertAlign val="subscript"/>
        <sz val="10"/>
        <rFont val="Calibri"/>
        <family val="2"/>
        <scheme val="minor"/>
      </rPr>
      <t>C</t>
    </r>
    <r>
      <rPr>
        <b/>
        <sz val="10"/>
        <rFont val="Calibri"/>
        <family val="2"/>
        <scheme val="minor"/>
      </rPr>
      <t xml:space="preserve"> = 1,834 x b x H</t>
    </r>
    <r>
      <rPr>
        <b/>
        <vertAlign val="superscript"/>
        <sz val="10"/>
        <rFont val="Calibri"/>
        <family val="2"/>
        <scheme val="minor"/>
      </rPr>
      <t>3/2</t>
    </r>
    <r>
      <rPr>
        <b/>
        <sz val="10"/>
        <rFont val="Calibri"/>
        <family val="2"/>
        <scheme val="minor"/>
      </rPr>
      <t xml:space="preserve">           (Referencia 3)</t>
    </r>
  </si>
  <si>
    <r>
      <t>Q</t>
    </r>
    <r>
      <rPr>
        <b/>
        <vertAlign val="subscript"/>
        <sz val="10"/>
        <rFont val="Calibri"/>
        <family val="2"/>
        <scheme val="minor"/>
      </rPr>
      <t>C</t>
    </r>
    <r>
      <rPr>
        <b/>
        <sz val="10"/>
        <rFont val="Calibri"/>
        <family val="2"/>
        <scheme val="minor"/>
      </rPr>
      <t>= [ ( C * e * b</t>
    </r>
    <r>
      <rPr>
        <b/>
        <vertAlign val="superscript"/>
        <sz val="10"/>
        <rFont val="Calibri"/>
        <family val="2"/>
        <scheme val="minor"/>
      </rPr>
      <t>2/3</t>
    </r>
    <r>
      <rPr>
        <b/>
        <sz val="10"/>
        <rFont val="Calibri"/>
        <family val="2"/>
        <scheme val="minor"/>
      </rPr>
      <t xml:space="preserve"> * (2g)</t>
    </r>
    <r>
      <rPr>
        <b/>
        <vertAlign val="superscript"/>
        <sz val="10"/>
        <rFont val="Calibri"/>
        <family val="2"/>
        <scheme val="minor"/>
      </rPr>
      <t>1/2</t>
    </r>
    <r>
      <rPr>
        <b/>
        <sz val="10"/>
        <rFont val="Calibri"/>
        <family val="2"/>
        <scheme val="minor"/>
      </rPr>
      <t xml:space="preserve"> * L ) / ( C`</t>
    </r>
    <r>
      <rPr>
        <b/>
        <vertAlign val="superscript"/>
        <sz val="10"/>
        <rFont val="Calibri"/>
        <family val="2"/>
        <scheme val="minor"/>
      </rPr>
      <t xml:space="preserve">1/3 </t>
    </r>
    <r>
      <rPr>
        <b/>
        <sz val="10"/>
        <rFont val="Calibri"/>
        <family val="2"/>
        <scheme val="minor"/>
      </rPr>
      <t>) ]</t>
    </r>
    <r>
      <rPr>
        <b/>
        <vertAlign val="superscript"/>
        <sz val="10"/>
        <rFont val="Calibri"/>
        <family val="2"/>
        <scheme val="minor"/>
      </rPr>
      <t>3/2</t>
    </r>
    <r>
      <rPr>
        <b/>
        <sz val="10"/>
        <rFont val="Calibri"/>
        <family val="2"/>
        <scheme val="minor"/>
      </rPr>
      <t xml:space="preserve">          (Referencia 1 y 2)</t>
    </r>
  </si>
  <si>
    <r>
      <t>m</t>
    </r>
    <r>
      <rPr>
        <vertAlign val="superscript"/>
        <sz val="10"/>
        <rFont val="Calibri"/>
        <family val="2"/>
        <scheme val="minor"/>
      </rPr>
      <t>3</t>
    </r>
    <r>
      <rPr>
        <sz val="10"/>
        <rFont val="Calibri"/>
        <family val="2"/>
        <scheme val="minor"/>
      </rPr>
      <t>/s</t>
    </r>
    <r>
      <rPr>
        <sz val="8"/>
        <rFont val="Calibri"/>
        <family val="2"/>
        <scheme val="minor"/>
      </rPr>
      <t xml:space="preserve"> (tomado de la capacidad de la rejilla)</t>
    </r>
  </si>
  <si>
    <t>2.4 Evaluación hidráulica de la tubería de derivación</t>
  </si>
  <si>
    <t>hi =</t>
  </si>
  <si>
    <t>Prof. de salida de la tub. de derivación</t>
  </si>
  <si>
    <t>Prof. de llegada de la tub. de derivación</t>
  </si>
  <si>
    <t>hf =</t>
  </si>
  <si>
    <t>Longitud de llegada de la tub. de derivación</t>
  </si>
  <si>
    <t>Ld =</t>
  </si>
  <si>
    <t>Qd = Caudal Máximo de Transporte</t>
  </si>
  <si>
    <t>Qd =</t>
  </si>
  <si>
    <t>2.5 Evaluación hidráulica de la tubería de aducción</t>
  </si>
  <si>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</si>
  <si>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 xml:space="preserve">Qd = 1/n </t>
    </r>
    <r>
      <rPr>
        <sz val="10"/>
        <rFont val="Calibri"/>
        <family val="2"/>
        <scheme val="minor"/>
      </rPr>
      <t>x</t>
    </r>
    <r>
      <rPr>
        <b/>
        <sz val="10"/>
        <rFont val="Calibri"/>
        <family val="2"/>
        <scheme val="minor"/>
      </rPr>
      <t xml:space="preserve"> A </t>
    </r>
    <r>
      <rPr>
        <sz val="10"/>
        <rFont val="Calibri"/>
        <family val="2"/>
        <scheme val="minor"/>
      </rPr>
      <t>x</t>
    </r>
    <r>
      <rPr>
        <b/>
        <sz val="10"/>
        <rFont val="Calibri"/>
        <family val="2"/>
        <scheme val="minor"/>
      </rPr>
      <t xml:space="preserve"> R</t>
    </r>
    <r>
      <rPr>
        <b/>
        <vertAlign val="subscript"/>
        <sz val="10"/>
        <rFont val="Calibri"/>
        <family val="2"/>
        <scheme val="minor"/>
      </rPr>
      <t>H</t>
    </r>
    <r>
      <rPr>
        <b/>
        <vertAlign val="superscript"/>
        <sz val="10"/>
        <rFont val="Calibri"/>
        <family val="2"/>
        <scheme val="minor"/>
      </rPr>
      <t xml:space="preserve">2/3 </t>
    </r>
    <r>
      <rPr>
        <sz val="10"/>
        <rFont val="Calibri"/>
        <family val="2"/>
        <scheme val="minor"/>
      </rPr>
      <t>x</t>
    </r>
    <r>
      <rPr>
        <b/>
        <vertAlign val="superscript"/>
        <sz val="10"/>
        <rFont val="Calibri"/>
        <family val="2"/>
        <scheme val="minor"/>
      </rPr>
      <t xml:space="preserve"> </t>
    </r>
    <r>
      <rPr>
        <b/>
        <sz val="10"/>
        <rFont val="Calibri"/>
        <family val="2"/>
        <scheme val="minor"/>
      </rPr>
      <t>S</t>
    </r>
    <r>
      <rPr>
        <b/>
        <vertAlign val="superscript"/>
        <sz val="10"/>
        <rFont val="Calibri"/>
        <family val="2"/>
        <scheme val="minor"/>
      </rPr>
      <t xml:space="preserve">1/2          </t>
    </r>
    <r>
      <rPr>
        <b/>
        <sz val="10"/>
        <rFont val="Calibri"/>
        <family val="2"/>
        <scheme val="minor"/>
      </rPr>
      <t>(Referencia 3)</t>
    </r>
  </si>
  <si>
    <t>Qa = Caudal Máximo de Captación</t>
  </si>
  <si>
    <t>Qa =</t>
  </si>
  <si>
    <t>3. CONCLUSIONES Y RECOMENDACIONES</t>
  </si>
  <si>
    <r>
      <t>Q = C x A x ( 2 x g x H^</t>
    </r>
    <r>
      <rPr>
        <b/>
        <vertAlign val="superscript"/>
        <sz val="10"/>
        <rFont val="Calibri"/>
        <family val="2"/>
        <scheme val="minor"/>
      </rPr>
      <t>3/2</t>
    </r>
    <r>
      <rPr>
        <b/>
        <sz val="10"/>
        <rFont val="Calibri"/>
        <family val="2"/>
        <scheme val="minor"/>
      </rPr>
      <t xml:space="preserve"> )^</t>
    </r>
    <r>
      <rPr>
        <b/>
        <vertAlign val="superscript"/>
        <sz val="10"/>
        <rFont val="Calibri"/>
        <family val="2"/>
        <scheme val="minor"/>
      </rPr>
      <t>1/2</t>
    </r>
    <r>
      <rPr>
        <b/>
        <sz val="10"/>
        <rFont val="Calibri"/>
        <family val="2"/>
        <scheme val="minor"/>
      </rPr>
      <t xml:space="preserve">          (Referencia 3)</t>
    </r>
  </si>
  <si>
    <t>La tubería que sale de la caja de derivación y que se encuentra en el fondo de dicha caja, corresponde a la línea de aducción entre la captación y el desarenador. Utilizando la expresión de la tubería sumergida; se evaluará la capacidad hidráulica máxima de transporte.
A continuación, se presenta el respectivo cálculo.</t>
  </si>
  <si>
    <r>
      <rPr>
        <b/>
        <i/>
        <sz val="9"/>
        <rFont val="Calibri"/>
        <family val="2"/>
        <scheme val="minor"/>
      </rPr>
      <t>Referencia 2:</t>
    </r>
    <r>
      <rPr>
        <i/>
        <sz val="9"/>
        <rFont val="Calibri"/>
        <family val="2"/>
        <scheme val="minor"/>
      </rPr>
      <t xml:space="preserve"> CORCHO Freddy, DUQUE Ignacio. Acueducto, teoria y diseño. Ed. Universidad Nacional de Colombia.</t>
    </r>
  </si>
  <si>
    <r>
      <rPr>
        <b/>
        <i/>
        <sz val="9"/>
        <rFont val="Calibri"/>
        <family val="2"/>
        <scheme val="minor"/>
      </rPr>
      <t>Referencia 3:</t>
    </r>
    <r>
      <rPr>
        <i/>
        <sz val="9"/>
        <rFont val="Calibri"/>
        <family val="2"/>
        <scheme val="minor"/>
      </rPr>
      <t xml:space="preserve"> AZEVEDO NETTO, J.M. y otros. Manual de hidraúlica. Editorial Harla. Sexta edición, 1976.</t>
    </r>
  </si>
  <si>
    <r>
      <rPr>
        <b/>
        <i/>
        <sz val="9"/>
        <rFont val="Calibri"/>
        <family val="2"/>
        <scheme val="minor"/>
      </rPr>
      <t>Referencia 1:</t>
    </r>
    <r>
      <rPr>
        <i/>
        <sz val="9"/>
        <rFont val="Calibri"/>
        <family val="2"/>
        <scheme val="minor"/>
      </rPr>
      <t xml:space="preserve"> MATERON MUÑOZ, Hernán. Obras hidráulicas rurales. Universidad del Valle. Cuarta edicion, 1991.</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</si>
  <si>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t>
    </r>
  </si>
  <si>
    <r>
      <t xml:space="preserve">1.2 Relación dimensiones de la estructura: </t>
    </r>
    <r>
      <rPr>
        <sz val="10"/>
        <rFont val="Calibri"/>
        <family val="2"/>
        <scheme val="minor"/>
      </rPr>
      <t>Se recomienda que la relación entre la longitud útil del desarenador y la profundidad efectiva para almacenamiento de arena sea 10 a 1. (Titulo B, Literal B.4.4.6.4).</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</si>
  <si>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
    </r>
  </si>
  <si>
    <r>
      <t>1.4 Sistema de evacuación de arenas:</t>
    </r>
    <r>
      <rPr>
        <sz val="10"/>
        <rFont val="Calibri"/>
        <family val="2"/>
        <scheme val="minor"/>
      </rPr>
      <t xml:space="preserve"> El dispositivo para la evacuación de arenas debe tener una pendiente mínima del 5%. La pendiente de las tolvas debe estar entre 5% y 8% (Titulo B, Literal B.4.4.6.6).</t>
    </r>
  </si>
  <si>
    <r>
      <t xml:space="preserve">1.5 Rebose y limpieza: </t>
    </r>
    <r>
      <rPr>
        <sz val="10"/>
        <rFont val="Calibri"/>
        <family val="2"/>
        <scheme val="minor"/>
      </rPr>
      <t>Dichos dispositivos deben conectarse a una tubería o canal de descarga cuyo diámetro o ancho sea como mínimo de 25 cm y/o tener una pendiente superior al 2% (Titulo B, Literal B.4.4.6.6).</t>
    </r>
  </si>
  <si>
    <r>
      <t xml:space="preserve">1.6 Velocidad de sedimentación: </t>
    </r>
    <r>
      <rPr>
        <sz val="10"/>
        <rFont val="Calibri"/>
        <family val="2"/>
        <scheme val="minor"/>
      </rPr>
      <t>La relación entre la velocidad horizontal y la velocidad de sedimentación de las partículas a remover, debe ser menor de 20 (Titulo B, Literal B.4.4.6.3).</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</si>
  <si>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t>
    </r>
  </si>
  <si>
    <r>
      <t xml:space="preserve">1.8 Peso específico de las partículas: </t>
    </r>
    <r>
      <rPr>
        <sz val="10"/>
        <rFont val="Calibri"/>
        <family val="2"/>
        <scheme val="minor"/>
      </rPr>
      <t>El peso específico de las arenas a remover en el desarenador, se puede adoptar en 2,65 g/cm³ (Titulo B, Literal B.4.4.6.3).</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</si>
  <si>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entre 3% y 5%. (Titulo B, Literal B.4.4.6.2)</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</si>
  <si>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(Titulo B, Literal B.4.4.6.4). </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</si>
  <si>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desarenador no debe ser menor del 75%. (Titulo B, Literal B.4.4.6.5).</t>
    </r>
  </si>
  <si>
    <r>
      <t xml:space="preserve">1.8 Peso específico de las partículas: </t>
    </r>
    <r>
      <rPr>
        <sz val="10"/>
        <rFont val="Calibri"/>
        <family val="2"/>
        <scheme val="minor"/>
      </rPr>
      <t>El peso específico de las arenas a remover en el desarenador, se puede asumir en 2,65 g/cm³ (Titulo B, Literal B.4.4.6.3).</t>
    </r>
  </si>
  <si>
    <r>
      <t>cm</t>
    </r>
    <r>
      <rPr>
        <vertAlign val="superscript"/>
        <sz val="10"/>
        <rFont val="Calibri"/>
        <family val="2"/>
        <scheme val="minor"/>
      </rPr>
      <t>2</t>
    </r>
    <r>
      <rPr>
        <sz val="10"/>
        <rFont val="Calibri"/>
        <family val="2"/>
        <scheme val="minor"/>
      </rPr>
      <t>/s</t>
    </r>
  </si>
  <si>
    <r>
      <t>cm/s</t>
    </r>
    <r>
      <rPr>
        <vertAlign val="superscript"/>
        <sz val="10"/>
        <rFont val="Calibri"/>
        <family val="2"/>
        <scheme val="minor"/>
      </rPr>
      <t>2</t>
    </r>
  </si>
  <si>
    <r>
      <t>* Peso Específico de la Arena                      r</t>
    </r>
    <r>
      <rPr>
        <vertAlign val="subscript"/>
        <sz val="10"/>
        <rFont val="Calibri"/>
        <family val="2"/>
        <scheme val="minor"/>
      </rPr>
      <t xml:space="preserve">S </t>
    </r>
    <r>
      <rPr>
        <sz val="10"/>
        <rFont val="Calibri"/>
        <family val="2"/>
        <scheme val="minor"/>
      </rPr>
      <t>=</t>
    </r>
  </si>
  <si>
    <r>
      <t>gr/cm</t>
    </r>
    <r>
      <rPr>
        <vertAlign val="superscript"/>
        <sz val="10"/>
        <rFont val="Calibri"/>
        <family val="2"/>
        <scheme val="minor"/>
      </rPr>
      <t>3</t>
    </r>
  </si>
  <si>
    <r>
      <t>* Peso Específico del Agua                           r</t>
    </r>
    <r>
      <rPr>
        <vertAlign val="subscript"/>
        <sz val="10"/>
        <rFont val="Calibri"/>
        <family val="2"/>
        <scheme val="minor"/>
      </rPr>
      <t xml:space="preserve"> </t>
    </r>
    <r>
      <rPr>
        <sz val="10"/>
        <rFont val="Calibri"/>
        <family val="2"/>
        <scheme val="minor"/>
      </rPr>
      <t>=</t>
    </r>
  </si>
  <si>
    <r>
      <t>V</t>
    </r>
    <r>
      <rPr>
        <b/>
        <vertAlign val="subscript"/>
        <sz val="10"/>
        <rFont val="Calibri"/>
        <family val="2"/>
        <scheme val="minor"/>
      </rPr>
      <t>S</t>
    </r>
    <r>
      <rPr>
        <b/>
        <sz val="10"/>
        <rFont val="Calibri"/>
        <family val="2"/>
        <scheme val="minor"/>
      </rPr>
      <t>= [ g * ( r</t>
    </r>
    <r>
      <rPr>
        <b/>
        <vertAlign val="subscript"/>
        <sz val="10"/>
        <rFont val="Calibri"/>
        <family val="2"/>
        <scheme val="minor"/>
      </rPr>
      <t>S</t>
    </r>
    <r>
      <rPr>
        <b/>
        <sz val="10"/>
        <rFont val="Calibri"/>
        <family val="2"/>
        <scheme val="minor"/>
      </rPr>
      <t xml:space="preserve"> - r) * d</t>
    </r>
    <r>
      <rPr>
        <b/>
        <vertAlign val="superscript"/>
        <sz val="10"/>
        <rFont val="Calibri"/>
        <family val="2"/>
        <scheme val="minor"/>
      </rPr>
      <t xml:space="preserve">2 </t>
    </r>
    <r>
      <rPr>
        <b/>
        <sz val="10"/>
        <rFont val="Calibri"/>
        <family val="2"/>
        <scheme val="minor"/>
      </rPr>
      <t>] / (18 * µ)</t>
    </r>
  </si>
  <si>
    <r>
      <t>V</t>
    </r>
    <r>
      <rPr>
        <b/>
        <sz val="6"/>
        <rFont val="Calibri"/>
        <family val="2"/>
        <scheme val="minor"/>
      </rPr>
      <t>ST°C</t>
    </r>
    <r>
      <rPr>
        <b/>
        <sz val="10"/>
        <rFont val="Calibri"/>
        <family val="2"/>
        <scheme val="minor"/>
      </rPr>
      <t xml:space="preserve"> = V</t>
    </r>
    <r>
      <rPr>
        <b/>
        <sz val="6"/>
        <rFont val="Calibri"/>
        <family val="2"/>
        <scheme val="minor"/>
      </rPr>
      <t xml:space="preserve">S10°C </t>
    </r>
    <r>
      <rPr>
        <b/>
        <sz val="8"/>
        <rFont val="Calibri"/>
        <family val="2"/>
        <scheme val="minor"/>
      </rPr>
      <t xml:space="preserve">x </t>
    </r>
    <r>
      <rPr>
        <b/>
        <sz val="10"/>
        <rFont val="Calibri"/>
        <family val="2"/>
        <scheme val="minor"/>
      </rPr>
      <t>(T°C+23,3)/33,3</t>
    </r>
  </si>
  <si>
    <r>
      <t>V</t>
    </r>
    <r>
      <rPr>
        <vertAlign val="subscript"/>
        <sz val="10"/>
        <rFont val="Calibri"/>
        <family val="2"/>
        <scheme val="minor"/>
      </rPr>
      <t xml:space="preserve">S </t>
    </r>
    <r>
      <rPr>
        <sz val="10"/>
        <rFont val="Calibri"/>
        <family val="2"/>
        <scheme val="minor"/>
      </rPr>
      <t xml:space="preserve">= </t>
    </r>
  </si>
  <si>
    <r>
      <t>Vs según Allen - Hazen                       (T=10</t>
    </r>
    <r>
      <rPr>
        <vertAlign val="superscript"/>
        <sz val="10"/>
        <rFont val="Calibri"/>
        <family val="2"/>
        <scheme val="minor"/>
      </rPr>
      <t>o</t>
    </r>
    <r>
      <rPr>
        <sz val="10"/>
        <rFont val="Calibri"/>
        <family val="2"/>
        <scheme val="minor"/>
      </rPr>
      <t xml:space="preserve">C) = </t>
    </r>
  </si>
  <si>
    <r>
      <t>Velocidad de Sedimentación Promedio, V</t>
    </r>
    <r>
      <rPr>
        <b/>
        <vertAlign val="subscript"/>
        <sz val="10"/>
        <rFont val="Calibri"/>
        <family val="2"/>
        <scheme val="minor"/>
      </rPr>
      <t>S</t>
    </r>
    <r>
      <rPr>
        <b/>
        <sz val="10"/>
        <rFont val="Calibri"/>
        <family val="2"/>
        <scheme val="minor"/>
      </rPr>
      <t xml:space="preserve"> =</t>
    </r>
  </si>
  <si>
    <r>
      <t>m</t>
    </r>
    <r>
      <rPr>
        <vertAlign val="superscript"/>
        <sz val="10"/>
        <rFont val="Calibri"/>
        <family val="2"/>
        <scheme val="minor"/>
      </rPr>
      <t>3</t>
    </r>
  </si>
  <si>
    <r>
      <t>V</t>
    </r>
    <r>
      <rPr>
        <b/>
        <vertAlign val="subscript"/>
        <sz val="10"/>
        <rFont val="Calibri"/>
        <family val="2"/>
        <scheme val="minor"/>
      </rPr>
      <t>H</t>
    </r>
    <r>
      <rPr>
        <b/>
        <sz val="10"/>
        <rFont val="Calibri"/>
        <family val="2"/>
        <scheme val="minor"/>
      </rPr>
      <t xml:space="preserve"> = Q / ( Au x Hu )</t>
    </r>
  </si>
  <si>
    <r>
      <t>*  Velocidad Horizontal; V</t>
    </r>
    <r>
      <rPr>
        <b/>
        <vertAlign val="subscript"/>
        <sz val="10"/>
        <rFont val="Calibri"/>
        <family val="2"/>
        <scheme val="minor"/>
      </rPr>
      <t>H</t>
    </r>
    <r>
      <rPr>
        <b/>
        <sz val="10"/>
        <rFont val="Calibri"/>
        <family val="2"/>
        <scheme val="minor"/>
      </rPr>
      <t xml:space="preserve"> =</t>
    </r>
  </si>
  <si>
    <r>
      <t>V</t>
    </r>
    <r>
      <rPr>
        <vertAlign val="subscript"/>
        <sz val="10"/>
        <rFont val="Calibri"/>
        <family val="2"/>
        <scheme val="minor"/>
      </rPr>
      <t>H</t>
    </r>
    <r>
      <rPr>
        <sz val="10"/>
        <rFont val="Calibri"/>
        <family val="2"/>
        <scheme val="minor"/>
      </rPr>
      <t xml:space="preserve"> &lt; 0,25m/s</t>
    </r>
  </si>
  <si>
    <r>
      <t>Verificación de la relación "R</t>
    </r>
    <r>
      <rPr>
        <b/>
        <vertAlign val="subscript"/>
        <sz val="10"/>
        <rFont val="Calibri"/>
        <family val="2"/>
        <scheme val="minor"/>
      </rPr>
      <t>V</t>
    </r>
    <r>
      <rPr>
        <b/>
        <sz val="10"/>
        <rFont val="Calibri"/>
        <family val="2"/>
        <scheme val="minor"/>
      </rPr>
      <t>" : R</t>
    </r>
    <r>
      <rPr>
        <b/>
        <vertAlign val="subscript"/>
        <sz val="10"/>
        <rFont val="Calibri"/>
        <family val="2"/>
        <scheme val="minor"/>
      </rPr>
      <t>V</t>
    </r>
    <r>
      <rPr>
        <b/>
        <sz val="10"/>
        <rFont val="Calibri"/>
        <family val="2"/>
        <scheme val="minor"/>
      </rPr>
      <t xml:space="preserve"> = V</t>
    </r>
    <r>
      <rPr>
        <b/>
        <vertAlign val="subscript"/>
        <sz val="10"/>
        <rFont val="Calibri"/>
        <family val="2"/>
        <scheme val="minor"/>
      </rPr>
      <t>H</t>
    </r>
    <r>
      <rPr>
        <b/>
        <sz val="10"/>
        <rFont val="Calibri"/>
        <family val="2"/>
        <scheme val="minor"/>
      </rPr>
      <t xml:space="preserve"> / Vs</t>
    </r>
  </si>
  <si>
    <r>
      <t>R</t>
    </r>
    <r>
      <rPr>
        <b/>
        <vertAlign val="subscript"/>
        <sz val="10"/>
        <rFont val="Calibri"/>
        <family val="2"/>
        <scheme val="minor"/>
      </rPr>
      <t>V</t>
    </r>
    <r>
      <rPr>
        <b/>
        <sz val="10"/>
        <rFont val="Calibri"/>
        <family val="2"/>
        <scheme val="minor"/>
      </rPr>
      <t xml:space="preserve"> =</t>
    </r>
  </si>
  <si>
    <r>
      <t>R</t>
    </r>
    <r>
      <rPr>
        <vertAlign val="subscript"/>
        <sz val="10"/>
        <rFont val="Calibri"/>
        <family val="2"/>
        <scheme val="minor"/>
      </rPr>
      <t>V</t>
    </r>
    <r>
      <rPr>
        <sz val="10"/>
        <rFont val="Calibri"/>
        <family val="2"/>
        <scheme val="minor"/>
      </rPr>
      <t xml:space="preserve"> &lt; 20</t>
    </r>
  </si>
  <si>
    <r>
      <t>Viscosidad cinemática; (cm</t>
    </r>
    <r>
      <rPr>
        <vertAlign val="superscript"/>
        <sz val="10"/>
        <rFont val="Calibri"/>
        <family val="2"/>
        <scheme val="minor"/>
      </rPr>
      <t>2</t>
    </r>
    <r>
      <rPr>
        <sz val="10"/>
        <rFont val="Calibri"/>
        <family val="2"/>
        <scheme val="minor"/>
      </rPr>
      <t>/s)</t>
    </r>
  </si>
  <si>
    <t>2. DATOS INICIALES PARA EVALUACIÓN HIDRÁULICA</t>
  </si>
  <si>
    <t>3. MEMORIAS DE EVALUACIÓN HIDRÁULICA</t>
  </si>
  <si>
    <t xml:space="preserve">3.1 Evaluación hidráulica de la velocidad de sedimentación, Vs  </t>
  </si>
  <si>
    <t>3.2 Evaluación hidráulica del tiempo de sedimentación, t</t>
  </si>
  <si>
    <t>3.3 Evaluación hidráulica del tiempo de retención hidráulico, a</t>
  </si>
  <si>
    <t>Q =</t>
  </si>
  <si>
    <r>
      <t xml:space="preserve">Vs según Allen - Hazen               (T=Temp. proyecto </t>
    </r>
    <r>
      <rPr>
        <vertAlign val="superscript"/>
        <sz val="10"/>
        <rFont val="Calibri"/>
        <family val="2"/>
        <scheme val="minor"/>
      </rPr>
      <t>o</t>
    </r>
    <r>
      <rPr>
        <sz val="10"/>
        <rFont val="Calibri"/>
        <family val="2"/>
        <scheme val="minor"/>
      </rPr>
      <t xml:space="preserve">C) = </t>
    </r>
  </si>
  <si>
    <t>3.4 Evaluación hidráulica de la capacidad del desarenador, Q</t>
  </si>
  <si>
    <r>
      <t>3.5 Evaluación hidráulica de la velocidad horizontal, V</t>
    </r>
    <r>
      <rPr>
        <b/>
        <vertAlign val="subscript"/>
        <sz val="10"/>
        <rFont val="Calibri"/>
        <family val="2"/>
        <scheme val="minor"/>
      </rPr>
      <t>H</t>
    </r>
  </si>
  <si>
    <t>3.6 Evaluación hidráulica de la velocidad de arrastre, Va</t>
  </si>
  <si>
    <t xml:space="preserve">* Velocidad de Arrastre (Va) = </t>
  </si>
  <si>
    <t>3.7 Evaluación hidráulica del Número de Reynolds, Re</t>
  </si>
  <si>
    <t>Se revisará la altura de la lámina de agua que debe pasar sobre el vertedero de salida del desarenador, para tal fin se usará la fórmula de Francis.</t>
  </si>
  <si>
    <r>
      <rPr>
        <b/>
        <i/>
        <sz val="9"/>
        <rFont val="Calibri"/>
        <family val="2"/>
        <scheme val="minor"/>
      </rPr>
      <t>Referencia 1:</t>
    </r>
    <r>
      <rPr>
        <i/>
        <sz val="9"/>
        <rFont val="Calibri"/>
        <family val="2"/>
        <scheme val="minor"/>
      </rPr>
      <t xml:space="preserve"> CORCHO Freddy, DUQUE Ignacio. Acueducto, teoria y diseño. Ed. Universidad Nacional de Colombia.</t>
    </r>
  </si>
  <si>
    <r>
      <rPr>
        <b/>
        <i/>
        <sz val="9"/>
        <rFont val="Calibri"/>
        <family val="2"/>
        <scheme val="minor"/>
      </rPr>
      <t>Referencia 2:</t>
    </r>
    <r>
      <rPr>
        <i/>
        <sz val="9"/>
        <rFont val="Calibri"/>
        <family val="2"/>
        <scheme val="minor"/>
      </rPr>
      <t xml:space="preserve"> AZEVEDO NETTO, J.M. y otros. Manual de hidraúlica. Editorial Harla. Sexta edición, 1976.</t>
    </r>
  </si>
  <si>
    <r>
      <rPr>
        <b/>
        <i/>
        <sz val="9"/>
        <rFont val="Calibri"/>
        <family val="2"/>
        <scheme val="minor"/>
      </rPr>
      <t>Referencia 3:</t>
    </r>
    <r>
      <rPr>
        <i/>
        <sz val="9"/>
        <rFont val="Calibri"/>
        <family val="2"/>
        <scheme val="minor"/>
      </rPr>
      <t xml:space="preserve"> PEREZ PARRA, Jorge Arturo. Acueducto y Alcantarillado. Facultad de Minas, Univ. Nacional. Primera edición, 2002.</t>
    </r>
  </si>
  <si>
    <t>Re = d x Vs / µ           (Referencia 3)</t>
  </si>
  <si>
    <r>
      <t xml:space="preserve">Va = 125 x ( ( Ss - 1 ) d ) </t>
    </r>
    <r>
      <rPr>
        <b/>
        <vertAlign val="superscript"/>
        <sz val="10"/>
        <rFont val="Calibri"/>
        <family val="2"/>
        <scheme val="minor"/>
      </rPr>
      <t>0,5</t>
    </r>
    <r>
      <rPr>
        <b/>
        <sz val="10"/>
        <rFont val="Calibri"/>
        <family val="2"/>
        <scheme val="minor"/>
      </rPr>
      <t xml:space="preserve">     (Referencia 3)</t>
    </r>
  </si>
  <si>
    <t>(Referencia 1)</t>
  </si>
  <si>
    <t>3.8 Evaluación hidráulica del vertedero de salida</t>
  </si>
  <si>
    <r>
      <t xml:space="preserve">H = Lámina de agua sobre el vertedero,                 </t>
    </r>
    <r>
      <rPr>
        <b/>
        <sz val="10"/>
        <rFont val="Calibri"/>
        <family val="2"/>
        <scheme val="minor"/>
      </rPr>
      <t xml:space="preserve">H = </t>
    </r>
  </si>
  <si>
    <t>* Área superficial del tanque ; A =</t>
  </si>
  <si>
    <t>* Diám. del orificio de vaciado ; Øo =</t>
  </si>
  <si>
    <t>pulgadas</t>
  </si>
  <si>
    <t>* Área del orificio de vaciado ;  a =</t>
  </si>
  <si>
    <t>* Constante de la ecuación ;  m =</t>
  </si>
  <si>
    <t>(De acuerdo con el Numeral B.9.4.10 del RAS/2.000)</t>
  </si>
  <si>
    <t>* Aceleración de la gravedad ;  g =</t>
  </si>
  <si>
    <t>horas</t>
  </si>
  <si>
    <r>
      <t xml:space="preserve">* Tiempo de vaciado del tanque ;  </t>
    </r>
    <r>
      <rPr>
        <b/>
        <sz val="10"/>
        <rFont val="Calibri"/>
        <family val="2"/>
        <scheme val="minor"/>
      </rPr>
      <t>T =</t>
    </r>
  </si>
  <si>
    <t>* Lámina de agua al interior del tanque ; h =</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</si>
  <si>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posee dos orificos de Ø4" ubicados en el fondo del desarenador, los cuales funcionan en conjunto como desagüe de la estructura.</t>
  </si>
  <si>
    <t>* Cantidad de orificios de vaciado ; No =</t>
  </si>
  <si>
    <t>* Área del orificio de vaciado ;  ao =</t>
  </si>
  <si>
    <r>
      <t>T =  [ ( 2 x A x ( h )</t>
    </r>
    <r>
      <rPr>
        <b/>
        <vertAlign val="superscript"/>
        <sz val="10"/>
        <rFont val="Calibri"/>
        <family val="2"/>
        <scheme val="minor"/>
      </rPr>
      <t>1/2</t>
    </r>
    <r>
      <rPr>
        <b/>
        <sz val="10"/>
        <rFont val="Calibri"/>
        <family val="2"/>
        <scheme val="minor"/>
      </rPr>
      <t xml:space="preserve"> ) / ( m x ao x ( 2 x g )</t>
    </r>
    <r>
      <rPr>
        <b/>
        <vertAlign val="superscript"/>
        <sz val="10"/>
        <rFont val="Calibri"/>
        <family val="2"/>
        <scheme val="minor"/>
      </rPr>
      <t>1/2</t>
    </r>
    <r>
      <rPr>
        <b/>
        <sz val="10"/>
        <rFont val="Calibri"/>
        <family val="2"/>
        <scheme val="minor"/>
      </rPr>
      <t xml:space="preserve"> ) ]     ;     A = [ L x b ]     ;     a = [ ( p x Øo</t>
    </r>
    <r>
      <rPr>
        <b/>
        <vertAlign val="superscript"/>
        <sz val="10"/>
        <rFont val="Calibri"/>
        <family val="2"/>
        <scheme val="minor"/>
      </rPr>
      <t>2</t>
    </r>
    <r>
      <rPr>
        <b/>
        <sz val="10"/>
        <rFont val="Calibri"/>
        <family val="2"/>
        <scheme val="minor"/>
      </rPr>
      <t xml:space="preserve"> ) / 4 ]    ;    ao = [ No x a ]</t>
    </r>
  </si>
  <si>
    <t>3.10 Evaluación hidráulica del tiempo de vaciado y desagüe</t>
  </si>
  <si>
    <t>3.9 Evaluación hidráulica del dispositivo de entrada</t>
  </si>
  <si>
    <t>A continuación, se realiza el cálculo de la velocidad de paso por los orificos ubicados en la zona de entrada del desarenador; para tal fin, se usará la ecuación de continuidad como sigue.</t>
  </si>
  <si>
    <r>
      <t>Qe =  [ Ao x Ve ]     ;     Qe = [ Q / Noe ]     ;     Ao = [ ( p x Øoe</t>
    </r>
    <r>
      <rPr>
        <b/>
        <vertAlign val="superscript"/>
        <sz val="10"/>
        <rFont val="Calibri"/>
        <family val="2"/>
        <scheme val="minor"/>
      </rPr>
      <t>2</t>
    </r>
    <r>
      <rPr>
        <b/>
        <sz val="10"/>
        <rFont val="Calibri"/>
        <family val="2"/>
        <scheme val="minor"/>
      </rPr>
      <t xml:space="preserve"> ) / 4 ]    ;    At = [ Noe x Ao ]</t>
    </r>
  </si>
  <si>
    <t>* Diám. de orificios de entrada ; Øoe =</t>
  </si>
  <si>
    <t>* Área de cada orificio de entrada ;  Ao =</t>
  </si>
  <si>
    <t>* Caudal de entrada al desarenador ;  Q =</t>
  </si>
  <si>
    <t>* Caudal de paso en cada orificio ;  Qe =</t>
  </si>
  <si>
    <t>* Velocidad de paso en cada orificio ;  Ve =</t>
  </si>
  <si>
    <t>TERCER ESCENARIO (87,5% DE EFICIENCIA Y TAMAÑO DE PARTÍCULAS DE 0,020 cm - RAS/2000)</t>
  </si>
  <si>
    <t>CUARTO ESCENARIO (87,5% DE EFICIENCIA Y TAMAÑO DE PARTÍCULAS DE 0,020 cm - RAS/2000)</t>
  </si>
  <si>
    <t xml:space="preserve">Asumido </t>
  </si>
  <si>
    <t>2.3 Evaluación hidráulica del vertedero de crecidas</t>
  </si>
  <si>
    <t>La captación de agua que se realiza sobre la Quebrada Montenegro, consiste en una bocatoma de fondo con rejilla dispuesta en el centro de la estructura. A continuación, se efectuará el chequeo hidráulico de los diferentes elementos que componen el sistema de captacion como son: rejilla, vertederos de captación y tubería de derivación.</t>
  </si>
  <si>
    <t>Aunque el anterior cálculo indica una determinada capacidad de captación del vertedero central existente, debe aclararse que dicho dispositivo sólo cuenta con una altura máxima de 0,04 m; razon por la cual se debe recalcular la capacida máxima teórica de captación del citado vertedero, para lo cual se usará la expresión de Francis, tal y como se indica a continuación:</t>
  </si>
  <si>
    <t>La bocatoma Montenegro no cuenta con vertedero de crecida, por lo que en el momento que se presenta el caudal de creciente de la quebrada, dicha cantidad de agua rebosará sobre la presa y pasará sobre ella.</t>
  </si>
  <si>
    <t xml:space="preserve"> EVALUACIÓN INFRAESTRUCTURA EXISTENTE</t>
  </si>
  <si>
    <t>Versión 1</t>
  </si>
  <si>
    <t>Consultoría para la elaboración de estudios y diseños  que incluyen los componentes de riesgo y/o amenaza para la recuperación y construcción de la Infraestructura de Agua potable y Saneamiento Básico, localizados en 3 Municipios del Departamento de Antioquia.</t>
  </si>
  <si>
    <t>Mayo de 2014</t>
  </si>
  <si>
    <t xml:space="preserve">La captación sobre la quebrada Montenegro también se realiza mediante una bocatoma de fondo tipo dique en concreto reforzado, su rejilla de sección de 0,25m x 0,43m está ubicada en el centro de la estructura, donde se encuentra un vertedero de captación de L = 0,45 m; a = 0,40 m y h = 0,04 m. La rejilla está compuesta por 20 varillas de Ø 3/8”, espaciadas entre sí 1,0 cm y sobre estas se ubica una malla con finos orificios que evita el ingreso de sedimentos dentro de la bocatoma. 
La tubería que conduce el agua cruda desde la rejilla  hacia la caja de derivación es de Ø 3’’ y en material PVC-P y se localiza al lado derecho de la estructura.
</t>
  </si>
  <si>
    <t>2.2 Evaluación hidráulica del vertedero central de captación</t>
  </si>
  <si>
    <t>Vereda San Francisco - Municipio San Pedro de  los Milagros  - Antioquia</t>
  </si>
  <si>
    <t>a) En la bocatoma se evidencia fugas, lo cual significa pérdidas del caudal captado para el abastecimiento de la vereda. Se recomienta hacer un revestimiento en piedra completo, para impermeabilizar y evitar la socavación.</t>
  </si>
  <si>
    <t>c)Se recomienda realizar tratamiento superficial de impermeabilización en toda la estructura, reparar las secciones que presentan socavación y realzar los muros de la bocatoma para cuando se presenten crecidas en la fuente.</t>
  </si>
  <si>
    <t>Para transportar las aguas provenientes de la rejilla de captación hacia la caja de derivación de la bocatoma, el sistema posee la tubería de derivación; la cual es en PVC-P de Ø3".  Para conocer su capacidad máxima de transporte se usará la fórmula de Manning, consideando condiciones a tubo lleno sin presurizar.</t>
  </si>
  <si>
    <t>1. Dimensionamiento del dispositivo de entrada</t>
  </si>
  <si>
    <t>1.1 Datos de entrada</t>
  </si>
  <si>
    <t xml:space="preserve">Descripción de la unidad </t>
  </si>
  <si>
    <t>* Longitud ; L =</t>
  </si>
  <si>
    <t>* Ancho ; a =</t>
  </si>
  <si>
    <t>1.2 Dispositivo de aforo</t>
  </si>
  <si>
    <t>En la práctica, estos vertederos son empleados con forma de triángulo isósceles, siendo más usuales los de 90º, para el dimensionamiento del vertedero, se emplea la fórmula desarrollada por Thomson (Tomado de la Referencia 1).</t>
  </si>
  <si>
    <t>* K = Constante de la ecuación, toma valores entre 1,40 y 1,46 (para nuestro caso se adopta un valor promedio de 1,43)</t>
  </si>
  <si>
    <t>* H = Lámina de agua sobre el vertedero (m)</t>
  </si>
  <si>
    <t>* Q = Caudal de paso por el vertedero (m³/s)</t>
  </si>
  <si>
    <t xml:space="preserve">1.3 Caudal Tuberia de Rebose </t>
  </si>
  <si>
    <t xml:space="preserve">* d =  Diametro de la Tuberia </t>
  </si>
  <si>
    <t xml:space="preserve">* H = Diametro de la tuberia </t>
  </si>
  <si>
    <t>Qc</t>
  </si>
  <si>
    <t>Qc = 1.518x(d)^0.693x (H)^1.807   (m3/s)</t>
  </si>
  <si>
    <t>m3/s</t>
  </si>
  <si>
    <t>l/s</t>
  </si>
  <si>
    <r>
      <t>m</t>
    </r>
    <r>
      <rPr>
        <sz val="10"/>
        <color rgb="FF000000"/>
        <rFont val="Calibri"/>
        <family val="2"/>
      </rPr>
      <t xml:space="preserve"> </t>
    </r>
  </si>
  <si>
    <t>*Profundidad útil, h=</t>
  </si>
  <si>
    <t>*Volumen útil, Vol=</t>
  </si>
  <si>
    <t>m3</t>
  </si>
  <si>
    <t xml:space="preserve">Para chequear el desarenador existente sobre la quebrada Montenegro, se presentan dos (2) escenarios para determinar la capacidad hidráulica de la estructura: </t>
  </si>
  <si>
    <t>1. Primer escenario (87,5% de eficiencia y tamaño de particula de 0,02 cm, según RAS2000) con tto posterior.</t>
  </si>
  <si>
    <t>2. Segundo escenario (87,5% de eficiencia, tamaño de particula de 0,02 cm y TRH de 20 min, RAS2000) con tto posterior.</t>
  </si>
  <si>
    <t>El desarenador del sistema de captación de la quebrada Montenegro se encuentra construido en concreto reforzado y está dividido en tres zonas,  zona de entrada, zona de sedimentación y zona de salida. El agua llega a la cámara de entrada por una tubería de aducción de PVC-P  Ø 3’’, en esta zona se encuentra una pantalla disipadora de energía  de sección 0,60 m x 0,80 m con 15 perforaciones de Ø ¾’’ en niple de PVC-P, esto con el fin de aquietar el flujo de agua y distribuir el caudal. En la segunda etapa, zona de sedimentación, la estructura  tiene una profundidad útil aproximada de 1,50 m, un largo útil 0,9 m y un ancho útil de 0,8 m, allí se encuentra ubicado un rebose en tubería PVC-P Ø 4’’ y un sistema de desagüe, que consiste en una tubería de fondo de 4’’ PVC-S y una válvula de purga tipo compuerta de Ø 4’’. En la parte final de la estructura  se tiene otra pantalla deflectora con  igual número de orificios y sección que la pantalla de la zona de entrada, por donde el agua sedimentada asciende. La tubería de salida que conduce el agua sedimentada hacia la planta de potabilización de agua, se encuentra ubicada a 13 cm de la superficie de la pantalla deflectora, dicha tubería es de material PVC-P  Ø 4’’.</t>
  </si>
  <si>
    <t>ANEXO 2.1 REVISIÓN DE LA CAPACIDAD HIDRÁULICA
DE LA CAPTACIÓN SOBRE LA QUEBRADA MONTENEGRO</t>
  </si>
  <si>
    <t>ANEXO 2.2 CAJA DE DERIVACIÓN SISTEMA MONTENEGRO</t>
  </si>
  <si>
    <t>REVISIÓN DE LA CAPACIDAD HIDRÁULICA
DEL DESARENADOR SOBRE LA QUEBRADA MONTENEGRO</t>
  </si>
  <si>
    <t>ANEXO 2.3  REVISIÓN DE LA CAPACIDAD HIDRÁULICA
DEL DESARENADOR SOBRE LA QUEBRADA MONTENEGRO</t>
  </si>
  <si>
    <r>
      <t>b) De acuerdo con los chequeos realizados a los componentes que conforman la captación Montenegro, se puede concluir que la capacidad limitante la determina la tubería de aducción, por tanto, la máxima capacidad de captación es de</t>
    </r>
    <r>
      <rPr>
        <sz val="10"/>
        <color rgb="FFFF0000"/>
        <rFont val="Calibri"/>
        <family val="2"/>
        <scheme val="minor"/>
      </rPr>
      <t xml:space="preserve"> 5,4</t>
    </r>
    <r>
      <rPr>
        <sz val="10"/>
        <rFont val="Calibri"/>
        <family val="2"/>
        <scheme val="minor"/>
      </rPr>
      <t xml:space="preserve"> L/s.</t>
    </r>
  </si>
  <si>
    <t>Q = [ K x H^(5/2) ]</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</si>
</sst>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0.0000"/>
    <numFmt numFmtId="165" formatCode="0.000"/>
    <numFmt numFmtId="166" formatCode="0.0"/>
    <numFmt numFmtId="167" formatCode="0.000000"/>
    <numFmt numFmtId="168" formatCode="&quot;Qc = &quot;\ 0.0\ &quot;l/s&quot;"/>
    <numFmt numFmtId="169" formatCode="0.0\ &quot;%&quot;"/>
    <numFmt numFmtId="170" formatCode="&quot;Qc = &quot;\ 0.0\ &quot;L/s&quot;"/>
    <numFmt numFmtId="171" formatCode="_([$€]* #,##0.00_);_([$€]* \(#,##0.00\);_([$€]* &quot;-&quot;??_);_(@_)"/>
    <numFmt numFmtId="172" formatCode="#,##0.0"/>
    <numFmt numFmtId="173" formatCode="0.00\ &quot;m&quot;"/>
    <numFmt numFmtId="174" formatCode="0.0000\ &quot;m²&quot;"/>
    <numFmt numFmtId="175" formatCode="0.00\ &quot;m²&quot;"/>
    <numFmt numFmtId="176" formatCode="0.000\ &quot;m&quot;"/>
    <numFmt numFmtId="177" formatCode="&quot;=&quot;\ 0.00\ &quot;cm&quot;"/>
    <numFmt numFmtId="178" formatCode="0\ &quot;º&quot;"/>
    <numFmt numFmtId="179" formatCode="0.0\ &quot;cm&quot;"/>
    <numFmt numFmtId="180" formatCode="0.00\ &quot;m/s&quot;"/>
    <numFmt numFmtId="181" formatCode="&quot;L &quot;\ \=\ 0.00\ &quot;m&quot;"/>
    <numFmt numFmtId="182" formatCode="&quot;An &quot;\ \=\ 0.00\ &quot;m&quot;"/>
    <numFmt numFmtId="183" formatCode="0.00000"/>
    <numFmt numFmtId="184" formatCode="0.00\ &quot;L/s&quot;"/>
    <numFmt numFmtId="185" formatCode="0\ &quot;pulgadas&quot;"/>
  </numFmts>
  <fonts count="52" x14ac:knownFonts="1">
    <font>
      <sz val="10"/>
      <name val="Arial"/>
    </font>
    <font>
      <sz val="10"/>
      <name val="Arial"/>
      <family val="2"/>
    </font>
    <font>
      <vertAlign val="superscript"/>
      <sz val="10"/>
      <name val="Arial"/>
      <family val="2"/>
    </font>
    <font>
      <vertAlign val="subscript"/>
      <sz val="10"/>
      <name val="Arial"/>
      <family val="2"/>
    </font>
    <font>
      <b/>
      <sz val="10"/>
      <name val="Arial"/>
      <family val="2"/>
    </font>
    <font>
      <b/>
      <vertAlign val="subscript"/>
      <sz val="10"/>
      <name val="Arial"/>
      <family val="2"/>
    </font>
    <font>
      <b/>
      <vertAlign val="superscript"/>
      <sz val="10"/>
      <name val="Arial"/>
      <family val="2"/>
    </font>
    <font>
      <sz val="10"/>
      <name val="Arial"/>
      <family val="2"/>
    </font>
    <font>
      <b/>
      <sz val="12"/>
      <name val="Arial"/>
      <family val="2"/>
    </font>
    <font>
      <sz val="14"/>
      <name val="Arial"/>
      <family val="2"/>
    </font>
    <font>
      <b/>
      <sz val="11"/>
      <name val="Arial"/>
      <family val="2"/>
    </font>
    <font>
      <sz val="11"/>
      <name val="Arial"/>
      <family val="2"/>
    </font>
    <font>
      <sz val="8"/>
      <color indexed="81"/>
      <name val="Tahoma"/>
      <family val="2"/>
    </font>
    <font>
      <b/>
      <sz val="8"/>
      <color indexed="81"/>
      <name val="Tahoma"/>
      <family val="2"/>
    </font>
    <font>
      <b/>
      <sz val="10"/>
      <name val="Symbol"/>
      <family val="1"/>
      <charset val="2"/>
    </font>
    <font>
      <sz val="10"/>
      <color indexed="10"/>
      <name val="Arial"/>
      <family val="2"/>
    </font>
    <font>
      <sz val="12"/>
      <name val="Arial"/>
      <family val="2"/>
    </font>
    <font>
      <b/>
      <sz val="10"/>
      <name val="Arial"/>
      <family val="2"/>
    </font>
    <font>
      <sz val="10"/>
      <name val="Calibri"/>
      <family val="2"/>
      <scheme val="minor"/>
    </font>
    <font>
      <b/>
      <sz val="13"/>
      <name val="Calibri"/>
      <family val="2"/>
      <scheme val="minor"/>
    </font>
    <font>
      <b/>
      <sz val="12"/>
      <name val="Calibri"/>
      <family val="2"/>
      <scheme val="minor"/>
    </font>
    <font>
      <b/>
      <sz val="10"/>
      <name val="Calibri"/>
      <family val="2"/>
      <scheme val="minor"/>
    </font>
    <font>
      <sz val="10"/>
      <color indexed="10"/>
      <name val="Calibri"/>
      <family val="2"/>
      <scheme val="minor"/>
    </font>
    <font>
      <b/>
      <vertAlign val="subscript"/>
      <sz val="10"/>
      <name val="Calibri"/>
      <family val="2"/>
      <scheme val="minor"/>
    </font>
    <font>
      <b/>
      <vertAlign val="superscript"/>
      <sz val="10"/>
      <name val="Calibri"/>
      <family val="2"/>
      <scheme val="minor"/>
    </font>
    <font>
      <vertAlign val="subscript"/>
      <sz val="10"/>
      <name val="Calibri"/>
      <family val="2"/>
      <scheme val="minor"/>
    </font>
    <font>
      <vertAlign val="superscript"/>
      <sz val="10"/>
      <name val="Calibri"/>
      <family val="2"/>
      <scheme val="minor"/>
    </font>
    <font>
      <sz val="12"/>
      <name val="Calibri"/>
      <family val="2"/>
      <scheme val="minor"/>
    </font>
    <font>
      <sz val="10"/>
      <color rgb="FFFF0000"/>
      <name val="Calibri"/>
      <family val="2"/>
      <scheme val="minor"/>
    </font>
    <font>
      <sz val="8"/>
      <name val="Calibri"/>
      <family val="2"/>
      <scheme val="minor"/>
    </font>
    <font>
      <sz val="9"/>
      <name val="Calibri"/>
      <family val="2"/>
      <scheme val="minor"/>
    </font>
    <font>
      <i/>
      <sz val="9"/>
      <name val="Calibri"/>
      <family val="2"/>
      <scheme val="minor"/>
    </font>
    <font>
      <b/>
      <i/>
      <sz val="9"/>
      <name val="Calibri"/>
      <family val="2"/>
      <scheme val="minor"/>
    </font>
    <font>
      <sz val="13"/>
      <name val="Calibri"/>
      <family val="2"/>
      <scheme val="minor"/>
    </font>
    <font>
      <b/>
      <sz val="15"/>
      <name val="Calibri"/>
      <family val="2"/>
      <scheme val="minor"/>
    </font>
    <font>
      <b/>
      <sz val="10"/>
      <color indexed="10"/>
      <name val="Calibri"/>
      <family val="2"/>
      <scheme val="minor"/>
    </font>
    <font>
      <b/>
      <sz val="11"/>
      <name val="Calibri"/>
      <family val="2"/>
      <scheme val="minor"/>
    </font>
    <font>
      <b/>
      <sz val="6"/>
      <name val="Calibri"/>
      <family val="2"/>
      <scheme val="minor"/>
    </font>
    <font>
      <b/>
      <sz val="8"/>
      <name val="Calibri"/>
      <family val="2"/>
      <scheme val="minor"/>
    </font>
    <font>
      <b/>
      <sz val="9"/>
      <name val="Calibri"/>
      <family val="2"/>
      <scheme val="minor"/>
    </font>
    <font>
      <sz val="10"/>
      <name val="Calibri"/>
      <family val="2"/>
    </font>
    <font>
      <b/>
      <sz val="10"/>
      <name val="Calibri"/>
      <family val="2"/>
    </font>
    <font>
      <sz val="10"/>
      <color rgb="FF000000"/>
      <name val="Calibri"/>
      <family val="2"/>
    </font>
    <font>
      <b/>
      <sz val="10"/>
      <color rgb="FF000000"/>
      <name val="Calibri"/>
      <family val="2"/>
    </font>
    <font>
      <b/>
      <sz val="15"/>
      <color rgb="FF000000"/>
      <name val="Calibri"/>
      <family val="2"/>
    </font>
    <font>
      <sz val="15"/>
      <color rgb="FF000000"/>
      <name val="Calibri"/>
      <family val="2"/>
    </font>
    <font>
      <sz val="10"/>
      <color rgb="FFFF0000"/>
      <name val="Calibri"/>
      <family val="2"/>
    </font>
    <font>
      <i/>
      <sz val="10"/>
      <color rgb="FF000000"/>
      <name val="Calibri"/>
      <family val="2"/>
    </font>
    <font>
      <b/>
      <i/>
      <sz val="10"/>
      <name val="Calibri"/>
      <family val="2"/>
    </font>
    <font>
      <i/>
      <sz val="10"/>
      <name val="Calibri"/>
      <family val="2"/>
    </font>
    <font>
      <sz val="10"/>
      <color rgb="FF0000FF"/>
      <name val="Calibri"/>
      <family val="2"/>
    </font>
    <font>
      <b/>
      <i/>
      <sz val="10"/>
      <color rgb="FF000000"/>
      <name val="Calibri"/>
      <family val="2"/>
    </font>
  </fonts>
  <fills count="5">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theme="9" tint="0.399975585192419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s>
  <cellStyleXfs count="7">
    <xf numFmtId="0" fontId="0" fillId="0" borderId="0"/>
    <xf numFmtId="171" fontId="1" fillId="0" borderId="0" applyFont="0" applyFill="0" applyBorder="0" applyAlignment="0" applyProtection="0"/>
    <xf numFmtId="0" fontId="16" fillId="0" borderId="0"/>
    <xf numFmtId="0" fontId="9" fillId="0" borderId="0"/>
    <xf numFmtId="0" fontId="1" fillId="0" borderId="0"/>
    <xf numFmtId="0" fontId="16" fillId="0" borderId="0"/>
    <xf numFmtId="0" fontId="1" fillId="0" borderId="0"/>
  </cellStyleXfs>
  <cellXfs count="347">
    <xf numFmtId="0" fontId="0" fillId="0" borderId="0" xfId="0"/>
    <xf numFmtId="0" fontId="4" fillId="0" borderId="0" xfId="0" applyFont="1" applyAlignment="1">
      <alignment horizontal="centerContinuous"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horizontal="center" vertical="center" wrapText="1"/>
    </xf>
    <xf numFmtId="0" fontId="4" fillId="0" borderId="0" xfId="0" applyFont="1" applyAlignment="1">
      <alignment horizontal="left" vertical="center"/>
    </xf>
    <xf numFmtId="1" fontId="10" fillId="0" borderId="0" xfId="3" applyNumberFormat="1" applyFont="1" applyAlignment="1">
      <alignment horizontal="centerContinuous" vertical="center"/>
    </xf>
    <xf numFmtId="1" fontId="11" fillId="0" borderId="0" xfId="3" applyNumberFormat="1" applyFont="1" applyAlignment="1">
      <alignment vertical="center"/>
    </xf>
    <xf numFmtId="1" fontId="7" fillId="0" borderId="1" xfId="3" applyNumberFormat="1" applyFont="1" applyBorder="1" applyAlignment="1">
      <alignment horizontal="center" vertical="center" wrapText="1"/>
    </xf>
    <xf numFmtId="1" fontId="11" fillId="0" borderId="1" xfId="3" applyNumberFormat="1" applyFont="1" applyBorder="1" applyAlignment="1">
      <alignment horizontal="center" vertical="center"/>
    </xf>
    <xf numFmtId="1" fontId="7" fillId="0" borderId="1" xfId="3" applyNumberFormat="1" applyFont="1" applyBorder="1" applyAlignment="1">
      <alignment horizontal="center" vertical="center"/>
    </xf>
    <xf numFmtId="1" fontId="11" fillId="0" borderId="2" xfId="3" applyNumberFormat="1" applyFont="1" applyBorder="1" applyAlignment="1">
      <alignment horizontal="center" vertical="center"/>
    </xf>
    <xf numFmtId="167" fontId="7" fillId="0" borderId="1" xfId="3" applyNumberFormat="1" applyFont="1" applyBorder="1" applyAlignment="1">
      <alignment horizontal="center" vertical="center"/>
    </xf>
    <xf numFmtId="166" fontId="11" fillId="0" borderId="3" xfId="3" applyNumberFormat="1" applyFont="1" applyBorder="1" applyAlignment="1">
      <alignment horizontal="center" vertical="center"/>
    </xf>
    <xf numFmtId="0" fontId="4" fillId="0" borderId="0" xfId="0" applyFont="1" applyAlignment="1">
      <alignment vertical="center"/>
    </xf>
    <xf numFmtId="0" fontId="7" fillId="0" borderId="0" xfId="0" applyFont="1" applyAlignment="1">
      <alignment vertical="center"/>
    </xf>
    <xf numFmtId="2" fontId="4" fillId="0" borderId="4" xfId="0" applyNumberFormat="1" applyFont="1" applyBorder="1" applyAlignment="1">
      <alignment horizontal="right" vertical="center"/>
    </xf>
    <xf numFmtId="166" fontId="4" fillId="0" borderId="5" xfId="0" applyNumberFormat="1" applyFont="1" applyBorder="1" applyAlignment="1">
      <alignment horizontal="center" vertical="center"/>
    </xf>
    <xf numFmtId="0" fontId="4" fillId="0" borderId="3" xfId="0" applyFont="1" applyBorder="1" applyAlignment="1">
      <alignment horizontal="left" vertical="center"/>
    </xf>
    <xf numFmtId="165" fontId="7" fillId="0" borderId="0" xfId="0" applyNumberFormat="1" applyFont="1" applyAlignment="1">
      <alignment horizontal="right" vertical="center"/>
    </xf>
    <xf numFmtId="0" fontId="7" fillId="0" borderId="0" xfId="0" applyFont="1" applyAlignment="1">
      <alignment horizontal="right" vertical="center"/>
    </xf>
    <xf numFmtId="2" fontId="4" fillId="0" borderId="0" xfId="0" applyNumberFormat="1" applyFont="1" applyAlignment="1">
      <alignment horizontal="right" vertical="center"/>
    </xf>
    <xf numFmtId="2" fontId="11" fillId="0" borderId="1" xfId="3" applyNumberFormat="1" applyFont="1" applyBorder="1" applyAlignment="1">
      <alignment horizontal="center" vertical="center"/>
    </xf>
    <xf numFmtId="2" fontId="7" fillId="0" borderId="0" xfId="0" applyNumberFormat="1" applyFont="1" applyAlignment="1">
      <alignment vertical="center"/>
    </xf>
    <xf numFmtId="165" fontId="7" fillId="0" borderId="0" xfId="0" applyNumberFormat="1" applyFont="1" applyAlignment="1">
      <alignment vertical="center"/>
    </xf>
    <xf numFmtId="1" fontId="7" fillId="0" borderId="0" xfId="0" applyNumberFormat="1" applyFont="1" applyAlignment="1">
      <alignment vertical="center"/>
    </xf>
    <xf numFmtId="166" fontId="7" fillId="0" borderId="0" xfId="0" applyNumberFormat="1" applyFont="1" applyAlignment="1">
      <alignment vertical="center"/>
    </xf>
    <xf numFmtId="0" fontId="4" fillId="0" borderId="0" xfId="0" applyFont="1" applyFill="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2"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Fill="1" applyAlignment="1">
      <alignment horizontal="right" vertical="center"/>
    </xf>
    <xf numFmtId="2" fontId="7" fillId="0" borderId="0" xfId="0" applyNumberFormat="1" applyFont="1" applyFill="1" applyAlignment="1">
      <alignment vertical="center"/>
    </xf>
    <xf numFmtId="0" fontId="7" fillId="0" borderId="0" xfId="0" applyFont="1" applyAlignment="1">
      <alignment horizontal="justify" vertical="center"/>
    </xf>
    <xf numFmtId="0" fontId="4" fillId="0" borderId="0" xfId="0" applyFont="1" applyFill="1" applyAlignment="1">
      <alignment horizontal="left" vertical="center"/>
    </xf>
    <xf numFmtId="0" fontId="4" fillId="0" borderId="0" xfId="0" applyFont="1" applyFill="1" applyAlignment="1">
      <alignment horizontal="centerContinuous"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vertical="center" wrapText="1"/>
    </xf>
    <xf numFmtId="0" fontId="4" fillId="0" borderId="6" xfId="0" applyFont="1" applyBorder="1" applyAlignment="1">
      <alignment horizontal="center" vertical="center"/>
    </xf>
    <xf numFmtId="0" fontId="4" fillId="0" borderId="7" xfId="0" applyFont="1" applyFill="1" applyBorder="1" applyAlignment="1">
      <alignment horizontal="center" vertical="center"/>
    </xf>
    <xf numFmtId="0" fontId="7" fillId="0" borderId="1" xfId="0" applyFont="1" applyBorder="1" applyAlignment="1">
      <alignment horizontal="center" vertical="center"/>
    </xf>
    <xf numFmtId="0" fontId="7" fillId="0" borderId="8"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Fill="1" applyBorder="1" applyAlignment="1">
      <alignment horizontal="center" vertical="center"/>
    </xf>
    <xf numFmtId="0" fontId="0" fillId="0" borderId="0" xfId="0" applyAlignment="1">
      <alignmen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3" fontId="0" fillId="0" borderId="14" xfId="0" applyNumberFormat="1"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165" fontId="0" fillId="0" borderId="0" xfId="0" applyNumberFormat="1" applyAlignment="1">
      <alignment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2" fontId="0" fillId="0" borderId="14" xfId="0" applyNumberFormat="1" applyBorder="1" applyAlignment="1">
      <alignment horizontal="center" vertical="center"/>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9"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7"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2" fontId="15" fillId="0" borderId="0" xfId="0" applyNumberFormat="1" applyFont="1" applyAlignment="1">
      <alignment horizontal="right" vertical="center"/>
    </xf>
    <xf numFmtId="165" fontId="4" fillId="0" borderId="0" xfId="0" applyNumberFormat="1" applyFont="1" applyAlignment="1">
      <alignment horizontal="right" vertical="center"/>
    </xf>
    <xf numFmtId="0" fontId="18" fillId="0" borderId="0" xfId="0" applyFont="1" applyAlignment="1">
      <alignment vertical="center"/>
    </xf>
    <xf numFmtId="0" fontId="20" fillId="0" borderId="0" xfId="0" applyFont="1" applyAlignment="1">
      <alignment horizontal="center" vertical="center" wrapText="1"/>
    </xf>
    <xf numFmtId="0" fontId="21" fillId="0" borderId="0" xfId="0" applyFont="1" applyAlignment="1">
      <alignment vertical="center"/>
    </xf>
    <xf numFmtId="0" fontId="21" fillId="0" borderId="0" xfId="0" applyFont="1" applyFill="1" applyAlignment="1">
      <alignment horizontal="center" vertical="center" wrapText="1"/>
    </xf>
    <xf numFmtId="0" fontId="18"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centerContinuous" vertical="center"/>
    </xf>
    <xf numFmtId="0" fontId="18" fillId="0" borderId="0" xfId="0" applyFont="1" applyAlignment="1">
      <alignment vertical="center" wrapText="1"/>
    </xf>
    <xf numFmtId="2" fontId="18" fillId="0" borderId="0" xfId="0" applyNumberFormat="1" applyFont="1" applyAlignment="1">
      <alignment vertical="center"/>
    </xf>
    <xf numFmtId="0" fontId="18" fillId="0" borderId="0" xfId="0" applyFont="1" applyAlignment="1">
      <alignment horizontal="right" vertical="center"/>
    </xf>
    <xf numFmtId="166" fontId="18" fillId="0" borderId="0" xfId="0" applyNumberFormat="1" applyFont="1" applyAlignment="1">
      <alignment vertical="center"/>
    </xf>
    <xf numFmtId="0" fontId="18" fillId="0" borderId="0" xfId="0" applyFont="1" applyAlignment="1">
      <alignment horizontal="left" vertical="center"/>
    </xf>
    <xf numFmtId="0" fontId="18" fillId="0" borderId="0" xfId="0" applyFont="1" applyFill="1" applyAlignment="1">
      <alignment horizontal="right" vertical="center"/>
    </xf>
    <xf numFmtId="2" fontId="18" fillId="0" borderId="0" xfId="0" applyNumberFormat="1" applyFont="1" applyAlignment="1">
      <alignment horizontal="right" vertical="center"/>
    </xf>
    <xf numFmtId="165" fontId="18" fillId="0" borderId="0" xfId="0" applyNumberFormat="1" applyFont="1" applyAlignment="1">
      <alignment vertical="center"/>
    </xf>
    <xf numFmtId="0" fontId="18" fillId="0" borderId="0" xfId="0" applyFont="1" applyFill="1" applyAlignment="1">
      <alignment vertical="center"/>
    </xf>
    <xf numFmtId="165" fontId="18" fillId="0" borderId="0" xfId="0" applyNumberFormat="1" applyFont="1" applyFill="1" applyAlignment="1">
      <alignment vertical="center"/>
    </xf>
    <xf numFmtId="2" fontId="18" fillId="0" borderId="0" xfId="0" applyNumberFormat="1" applyFont="1" applyFill="1" applyAlignment="1">
      <alignment vertical="center"/>
    </xf>
    <xf numFmtId="0" fontId="18" fillId="0" borderId="0" xfId="0" applyFont="1" applyAlignment="1">
      <alignment horizontal="centerContinuous" vertical="center"/>
    </xf>
    <xf numFmtId="0" fontId="21" fillId="0" borderId="0" xfId="0" applyFont="1" applyAlignment="1">
      <alignment horizontal="left" vertical="center"/>
    </xf>
    <xf numFmtId="165" fontId="18" fillId="0" borderId="0" xfId="0" applyNumberFormat="1" applyFont="1" applyAlignment="1">
      <alignment horizontal="right" vertical="center"/>
    </xf>
    <xf numFmtId="2" fontId="22" fillId="0" borderId="0" xfId="0" applyNumberFormat="1" applyFont="1" applyAlignment="1">
      <alignment horizontal="right" vertical="center"/>
    </xf>
    <xf numFmtId="2" fontId="21" fillId="0" borderId="0" xfId="0" applyNumberFormat="1" applyFont="1" applyAlignment="1">
      <alignment horizontal="right" vertical="center"/>
    </xf>
    <xf numFmtId="165" fontId="21" fillId="0" borderId="0" xfId="0" applyNumberFormat="1" applyFont="1" applyAlignment="1">
      <alignment horizontal="right" vertical="center"/>
    </xf>
    <xf numFmtId="0" fontId="18" fillId="0" borderId="0" xfId="0" applyFont="1" applyAlignment="1">
      <alignment horizontal="justify" vertical="center"/>
    </xf>
    <xf numFmtId="0" fontId="21" fillId="0" borderId="0" xfId="0" applyFont="1" applyFill="1" applyAlignment="1">
      <alignment horizontal="centerContinuous" vertical="center"/>
    </xf>
    <xf numFmtId="0" fontId="21" fillId="0" borderId="0" xfId="0" applyFont="1" applyFill="1" applyAlignment="1">
      <alignment vertical="center"/>
    </xf>
    <xf numFmtId="0" fontId="27" fillId="0" borderId="0" xfId="0" applyFont="1" applyFill="1" applyAlignment="1">
      <alignment horizontal="right" vertical="center"/>
    </xf>
    <xf numFmtId="0" fontId="18" fillId="0" borderId="0" xfId="0" applyFont="1" applyFill="1" applyAlignment="1">
      <alignment horizontal="centerContinuous" vertical="center"/>
    </xf>
    <xf numFmtId="0" fontId="27" fillId="0" borderId="0" xfId="0" applyFont="1" applyFill="1" applyAlignment="1">
      <alignment horizontal="centerContinuous" vertical="center"/>
    </xf>
    <xf numFmtId="2" fontId="18" fillId="0" borderId="0" xfId="0" applyNumberFormat="1" applyFont="1" applyFill="1" applyAlignment="1">
      <alignment horizontal="right" vertical="center"/>
    </xf>
    <xf numFmtId="0" fontId="18" fillId="0" borderId="0" xfId="0" applyFont="1" applyFill="1" applyAlignment="1">
      <alignment horizontal="left" vertical="center"/>
    </xf>
    <xf numFmtId="2" fontId="21" fillId="0" borderId="0" xfId="0" applyNumberFormat="1" applyFont="1" applyFill="1" applyBorder="1" applyAlignment="1">
      <alignment horizontal="right" vertical="center"/>
    </xf>
    <xf numFmtId="0" fontId="21" fillId="0" borderId="0" xfId="0" applyFont="1" applyFill="1" applyBorder="1" applyAlignment="1">
      <alignment horizontal="left" vertical="center"/>
    </xf>
    <xf numFmtId="1" fontId="18" fillId="0" borderId="0" xfId="0" applyNumberFormat="1" applyFont="1" applyAlignment="1">
      <alignment vertical="center"/>
    </xf>
    <xf numFmtId="0" fontId="18" fillId="0" borderId="0" xfId="0" applyFont="1" applyFill="1" applyAlignment="1">
      <alignment vertical="center" wrapText="1"/>
    </xf>
    <xf numFmtId="166" fontId="18" fillId="0" borderId="0" xfId="0" applyNumberFormat="1" applyFont="1" applyFill="1" applyAlignment="1">
      <alignment vertical="center"/>
    </xf>
    <xf numFmtId="2" fontId="21" fillId="0" borderId="0" xfId="0" applyNumberFormat="1" applyFont="1" applyBorder="1" applyAlignment="1">
      <alignment horizontal="right" vertical="center"/>
    </xf>
    <xf numFmtId="0" fontId="21" fillId="0" borderId="0" xfId="0" applyFont="1" applyBorder="1" applyAlignment="1">
      <alignment horizontal="left" vertical="center"/>
    </xf>
    <xf numFmtId="166" fontId="21" fillId="3" borderId="0" xfId="0" applyNumberFormat="1" applyFont="1" applyFill="1" applyBorder="1" applyAlignment="1">
      <alignment horizontal="center" vertical="center"/>
    </xf>
    <xf numFmtId="1" fontId="28" fillId="0" borderId="0" xfId="0" applyNumberFormat="1" applyFont="1" applyFill="1" applyAlignment="1">
      <alignment vertical="center"/>
    </xf>
    <xf numFmtId="0" fontId="28" fillId="0" borderId="0" xfId="0" applyFont="1" applyFill="1" applyAlignment="1">
      <alignment vertical="center"/>
    </xf>
    <xf numFmtId="2" fontId="28" fillId="0" borderId="0" xfId="0" applyNumberFormat="1" applyFont="1" applyFill="1" applyAlignment="1">
      <alignment vertical="center"/>
    </xf>
    <xf numFmtId="165" fontId="28" fillId="0" borderId="0" xfId="0" applyNumberFormat="1" applyFont="1" applyFill="1" applyAlignment="1">
      <alignment vertical="center"/>
    </xf>
    <xf numFmtId="166" fontId="21" fillId="0" borderId="0" xfId="0" applyNumberFormat="1" applyFont="1" applyAlignment="1">
      <alignment horizontal="right" vertical="center"/>
    </xf>
    <xf numFmtId="0" fontId="30" fillId="0" borderId="0" xfId="0" applyFont="1" applyFill="1" applyBorder="1" applyAlignment="1">
      <alignment horizontal="center" vertical="center"/>
    </xf>
    <xf numFmtId="2" fontId="30" fillId="0" borderId="0" xfId="0" applyNumberFormat="1" applyFont="1" applyFill="1" applyBorder="1" applyAlignment="1">
      <alignment horizontal="center" vertical="center"/>
    </xf>
    <xf numFmtId="165" fontId="30" fillId="0" borderId="0" xfId="0" applyNumberFormat="1" applyFont="1" applyFill="1" applyBorder="1" applyAlignment="1">
      <alignment horizontal="center" vertical="center"/>
    </xf>
    <xf numFmtId="0" fontId="20" fillId="0" borderId="0" xfId="0" applyFont="1" applyAlignment="1">
      <alignment horizontal="centerContinuous" vertical="center"/>
    </xf>
    <xf numFmtId="0" fontId="21" fillId="0" borderId="0" xfId="0" applyFont="1" applyAlignment="1">
      <alignment horizontal="center" vertical="center"/>
    </xf>
    <xf numFmtId="0" fontId="27" fillId="0" borderId="0" xfId="0" applyFont="1" applyAlignment="1">
      <alignment vertical="center"/>
    </xf>
    <xf numFmtId="0" fontId="18" fillId="0" borderId="0" xfId="0" applyFont="1" applyAlignment="1">
      <alignment horizontal="center" vertical="center"/>
    </xf>
    <xf numFmtId="1" fontId="21" fillId="0" borderId="0" xfId="0" applyNumberFormat="1" applyFont="1" applyAlignment="1">
      <alignment horizontal="center" vertical="center" wrapText="1"/>
    </xf>
    <xf numFmtId="1" fontId="21" fillId="0" borderId="0" xfId="0" applyNumberFormat="1" applyFont="1" applyAlignment="1">
      <alignment horizontal="center" vertical="center"/>
    </xf>
    <xf numFmtId="0" fontId="33" fillId="0" borderId="0" xfId="0" applyFont="1" applyAlignment="1">
      <alignment vertical="center"/>
    </xf>
    <xf numFmtId="0" fontId="21" fillId="0" borderId="0" xfId="0" applyFont="1" applyAlignment="1">
      <alignment horizontal="center" vertical="center" wrapText="1"/>
    </xf>
    <xf numFmtId="164" fontId="18" fillId="0" borderId="0" xfId="0" applyNumberFormat="1" applyFont="1" applyAlignment="1">
      <alignment vertical="center"/>
    </xf>
    <xf numFmtId="0" fontId="21" fillId="0" borderId="0" xfId="2" applyNumberFormat="1" applyFont="1" applyAlignment="1">
      <alignment horizontal="left" vertical="center"/>
    </xf>
    <xf numFmtId="2" fontId="22" fillId="0" borderId="0" xfId="0" applyNumberFormat="1" applyFont="1" applyAlignment="1">
      <alignment vertical="center"/>
    </xf>
    <xf numFmtId="0" fontId="36" fillId="0" borderId="0" xfId="0" applyFont="1" applyAlignment="1">
      <alignment horizontal="center" vertical="center"/>
    </xf>
    <xf numFmtId="165" fontId="21" fillId="0" borderId="0" xfId="0" applyNumberFormat="1" applyFont="1" applyAlignment="1">
      <alignment vertical="center"/>
    </xf>
    <xf numFmtId="0" fontId="21" fillId="0" borderId="0" xfId="0" applyFont="1" applyAlignment="1">
      <alignment horizontal="right" vertical="center"/>
    </xf>
    <xf numFmtId="1" fontId="35" fillId="0" borderId="0" xfId="0" applyNumberFormat="1" applyFont="1" applyAlignment="1">
      <alignment vertical="center"/>
    </xf>
    <xf numFmtId="0" fontId="18" fillId="0" borderId="0" xfId="3" applyFont="1" applyBorder="1" applyAlignment="1">
      <alignment horizontal="left" vertical="center"/>
    </xf>
    <xf numFmtId="0" fontId="21" fillId="0" borderId="0" xfId="0" applyFont="1" applyBorder="1" applyAlignment="1">
      <alignment vertical="center"/>
    </xf>
    <xf numFmtId="0" fontId="18" fillId="0" borderId="0" xfId="0" applyFont="1" applyBorder="1" applyAlignment="1">
      <alignment vertical="center"/>
    </xf>
    <xf numFmtId="2" fontId="21" fillId="0" borderId="0" xfId="0" applyNumberFormat="1" applyFont="1" applyAlignment="1">
      <alignment horizontal="center" vertical="center"/>
    </xf>
    <xf numFmtId="0" fontId="21" fillId="0" borderId="0" xfId="0" applyFont="1" applyBorder="1" applyAlignment="1">
      <alignment horizontal="center" vertical="center"/>
    </xf>
    <xf numFmtId="0" fontId="21" fillId="0" borderId="0" xfId="0" applyFont="1" applyFill="1" applyAlignment="1">
      <alignment horizontal="right" vertical="center"/>
    </xf>
    <xf numFmtId="2" fontId="18" fillId="0" borderId="0" xfId="0" applyNumberFormat="1" applyFont="1" applyFill="1" applyAlignment="1">
      <alignment horizontal="center" vertical="center"/>
    </xf>
    <xf numFmtId="0" fontId="22" fillId="0" borderId="0" xfId="0" applyFont="1" applyAlignment="1">
      <alignment vertical="center"/>
    </xf>
    <xf numFmtId="2" fontId="21" fillId="0" borderId="0" xfId="0" applyNumberFormat="1" applyFont="1" applyFill="1" applyAlignment="1">
      <alignment vertical="center"/>
    </xf>
    <xf numFmtId="166" fontId="21" fillId="0" borderId="0" xfId="0" applyNumberFormat="1" applyFont="1" applyAlignment="1">
      <alignment vertical="center"/>
    </xf>
    <xf numFmtId="169" fontId="18" fillId="0" borderId="0" xfId="0" applyNumberFormat="1" applyFont="1" applyAlignment="1">
      <alignment horizontal="left" vertical="center"/>
    </xf>
    <xf numFmtId="164" fontId="18" fillId="0" borderId="0" xfId="0" applyNumberFormat="1" applyFont="1" applyAlignment="1">
      <alignment horizontal="center" vertical="center"/>
    </xf>
    <xf numFmtId="166" fontId="18" fillId="0" borderId="0" xfId="0" applyNumberFormat="1" applyFont="1" applyAlignment="1">
      <alignment horizontal="right" vertical="center"/>
    </xf>
    <xf numFmtId="164" fontId="18" fillId="0" borderId="0" xfId="0" applyNumberFormat="1" applyFont="1" applyAlignment="1">
      <alignment horizontal="right" vertical="center"/>
    </xf>
    <xf numFmtId="0" fontId="33" fillId="0" borderId="0" xfId="0" applyFont="1" applyAlignment="1">
      <alignment vertical="center" wrapText="1"/>
    </xf>
    <xf numFmtId="2" fontId="21" fillId="3" borderId="0" xfId="0" applyNumberFormat="1" applyFont="1" applyFill="1" applyAlignment="1">
      <alignment horizontal="right" vertical="center"/>
    </xf>
    <xf numFmtId="165" fontId="21" fillId="3" borderId="0" xfId="0" applyNumberFormat="1" applyFont="1" applyFill="1" applyAlignment="1">
      <alignment horizontal="right" vertical="center"/>
    </xf>
    <xf numFmtId="166" fontId="21" fillId="3" borderId="0" xfId="0" applyNumberFormat="1" applyFont="1" applyFill="1" applyAlignment="1">
      <alignment horizontal="right" vertical="center"/>
    </xf>
    <xf numFmtId="0" fontId="39" fillId="0" borderId="0" xfId="0" applyFont="1" applyFill="1" applyAlignment="1">
      <alignment horizontal="left" vertical="center"/>
    </xf>
    <xf numFmtId="166" fontId="18" fillId="0" borderId="0" xfId="0" applyNumberFormat="1" applyFont="1" applyFill="1" applyAlignment="1">
      <alignment horizontal="right" vertical="center"/>
    </xf>
    <xf numFmtId="1" fontId="28" fillId="0" borderId="0" xfId="0" applyNumberFormat="1" applyFont="1" applyFill="1" applyAlignment="1">
      <alignment horizontal="right" vertical="center"/>
    </xf>
    <xf numFmtId="165" fontId="18"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8" fillId="0" borderId="0" xfId="0" applyNumberFormat="1" applyFont="1" applyFill="1" applyAlignment="1">
      <alignment horizontal="right" vertical="center"/>
    </xf>
    <xf numFmtId="166" fontId="28" fillId="0"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center" vertical="center"/>
    </xf>
    <xf numFmtId="0" fontId="18" fillId="0" borderId="0" xfId="0" applyFont="1" applyAlignment="1">
      <alignment horizontal="center" vertical="center"/>
    </xf>
    <xf numFmtId="0" fontId="21" fillId="0" borderId="0" xfId="0" applyFont="1" applyBorder="1" applyAlignment="1">
      <alignment horizontal="center" vertical="center"/>
    </xf>
    <xf numFmtId="0" fontId="18" fillId="0" borderId="0" xfId="0" applyFont="1" applyAlignment="1">
      <alignment vertical="center"/>
    </xf>
    <xf numFmtId="2" fontId="28" fillId="3" borderId="0" xfId="0" applyNumberFormat="1" applyFont="1" applyFill="1" applyAlignment="1">
      <alignment horizontal="right" vertical="center"/>
    </xf>
    <xf numFmtId="0" fontId="18" fillId="0" borderId="0" xfId="0" applyFont="1" applyAlignment="1">
      <alignment vertical="center"/>
    </xf>
    <xf numFmtId="0" fontId="21" fillId="0" borderId="0" xfId="0" applyFont="1" applyAlignment="1">
      <alignment horizontal="center" vertical="center"/>
    </xf>
    <xf numFmtId="0" fontId="18" fillId="0" borderId="0" xfId="4" applyFont="1" applyAlignment="1">
      <alignment vertical="center"/>
    </xf>
    <xf numFmtId="2" fontId="22" fillId="0" borderId="0" xfId="0" applyNumberFormat="1" applyFont="1" applyFill="1" applyAlignment="1">
      <alignment vertical="center"/>
    </xf>
    <xf numFmtId="164" fontId="18" fillId="0" borderId="0" xfId="0" applyNumberFormat="1" applyFont="1" applyFill="1" applyAlignment="1">
      <alignment horizontal="right" vertical="center"/>
    </xf>
    <xf numFmtId="0" fontId="21" fillId="0" borderId="0" xfId="0" applyFont="1" applyFill="1" applyBorder="1" applyAlignment="1">
      <alignment vertical="center"/>
    </xf>
    <xf numFmtId="0" fontId="40" fillId="0" borderId="0" xfId="4" applyFont="1" applyFill="1" applyBorder="1" applyAlignment="1">
      <alignment vertical="center"/>
    </xf>
    <xf numFmtId="2" fontId="40" fillId="0" borderId="0" xfId="4" applyNumberFormat="1" applyFont="1" applyFill="1" applyBorder="1" applyAlignment="1">
      <alignment vertical="center"/>
    </xf>
    <xf numFmtId="0" fontId="40" fillId="0" borderId="0" xfId="2" applyNumberFormat="1" applyFont="1" applyFill="1" applyBorder="1" applyAlignment="1">
      <alignment vertical="center"/>
    </xf>
    <xf numFmtId="2" fontId="40" fillId="0" borderId="0" xfId="2" applyNumberFormat="1" applyFont="1" applyFill="1" applyBorder="1" applyAlignment="1">
      <alignment vertical="center"/>
    </xf>
    <xf numFmtId="0" fontId="42" fillId="0" borderId="0" xfId="4" applyFont="1" applyFill="1" applyBorder="1" applyAlignment="1">
      <alignment vertical="center"/>
    </xf>
    <xf numFmtId="0" fontId="43" fillId="0" borderId="0" xfId="4" applyFont="1" applyFill="1" applyBorder="1" applyAlignment="1">
      <alignment vertical="center"/>
    </xf>
    <xf numFmtId="2" fontId="46" fillId="0" borderId="0" xfId="4" applyNumberFormat="1" applyFont="1" applyFill="1" applyBorder="1" applyAlignment="1">
      <alignment horizontal="center" vertical="center"/>
    </xf>
    <xf numFmtId="0" fontId="41" fillId="0" borderId="0" xfId="4" applyNumberFormat="1" applyFont="1" applyFill="1" applyBorder="1" applyAlignment="1">
      <alignment vertical="center"/>
    </xf>
    <xf numFmtId="0" fontId="40" fillId="0" borderId="0" xfId="4" applyNumberFormat="1" applyFont="1" applyFill="1" applyBorder="1" applyAlignment="1">
      <alignment vertical="center"/>
    </xf>
    <xf numFmtId="2" fontId="46" fillId="0" borderId="0" xfId="4" applyNumberFormat="1" applyFont="1" applyFill="1" applyBorder="1" applyAlignment="1">
      <alignment horizontal="left" vertical="center"/>
    </xf>
    <xf numFmtId="0" fontId="42" fillId="0" borderId="0" xfId="4" applyFont="1" applyFill="1" applyBorder="1" applyAlignment="1">
      <alignment horizontal="right" vertical="center"/>
    </xf>
    <xf numFmtId="0" fontId="42" fillId="0" borderId="0" xfId="4" applyFont="1" applyFill="1" applyBorder="1" applyAlignment="1">
      <alignment horizontal="left" vertical="center"/>
    </xf>
    <xf numFmtId="0" fontId="43" fillId="0" borderId="0" xfId="4" applyFont="1" applyFill="1" applyBorder="1" applyAlignment="1">
      <alignment horizontal="left" vertical="center"/>
    </xf>
    <xf numFmtId="2" fontId="40" fillId="0" borderId="0" xfId="5" applyNumberFormat="1" applyFont="1" applyFill="1" applyBorder="1" applyAlignment="1">
      <alignment vertical="center" wrapText="1"/>
    </xf>
    <xf numFmtId="173" fontId="42" fillId="0" borderId="0" xfId="4" applyNumberFormat="1" applyFont="1" applyFill="1" applyBorder="1" applyAlignment="1">
      <alignment vertical="center"/>
    </xf>
    <xf numFmtId="174" fontId="42" fillId="0" borderId="0" xfId="4" applyNumberFormat="1" applyFont="1" applyFill="1" applyBorder="1" applyAlignment="1">
      <alignment vertical="center"/>
    </xf>
    <xf numFmtId="175" fontId="42" fillId="0" borderId="0" xfId="4" applyNumberFormat="1" applyFont="1" applyFill="1" applyBorder="1" applyAlignment="1">
      <alignment vertical="center"/>
    </xf>
    <xf numFmtId="2" fontId="40" fillId="0" borderId="0" xfId="6" applyNumberFormat="1" applyFont="1" applyFill="1" applyBorder="1" applyAlignment="1">
      <alignment vertical="center" wrapText="1"/>
    </xf>
    <xf numFmtId="173" fontId="46" fillId="0" borderId="0" xfId="4" applyNumberFormat="1" applyFont="1" applyFill="1" applyBorder="1" applyAlignment="1">
      <alignment vertical="center"/>
    </xf>
    <xf numFmtId="165" fontId="42" fillId="0" borderId="0" xfId="4" applyNumberFormat="1" applyFont="1" applyFill="1" applyBorder="1" applyAlignment="1">
      <alignment vertical="center"/>
    </xf>
    <xf numFmtId="2" fontId="40" fillId="0" borderId="0" xfId="5" applyNumberFormat="1" applyFont="1" applyFill="1" applyBorder="1" applyAlignment="1">
      <alignment horizontal="right" vertical="center" wrapText="1"/>
    </xf>
    <xf numFmtId="176" fontId="42" fillId="0" borderId="0" xfId="4" applyNumberFormat="1" applyFont="1" applyFill="1" applyBorder="1" applyAlignment="1">
      <alignment vertical="center"/>
    </xf>
    <xf numFmtId="177" fontId="42" fillId="0" borderId="0" xfId="4" applyNumberFormat="1" applyFont="1" applyFill="1" applyBorder="1" applyAlignment="1">
      <alignment horizontal="right" vertical="center"/>
    </xf>
    <xf numFmtId="0" fontId="47" fillId="0" borderId="0" xfId="4" applyFont="1" applyFill="1" applyBorder="1" applyAlignment="1">
      <alignment vertical="center"/>
    </xf>
    <xf numFmtId="0" fontId="43" fillId="0" borderId="0" xfId="4" applyFont="1" applyFill="1" applyBorder="1" applyAlignment="1">
      <alignment horizontal="right" vertical="center"/>
    </xf>
    <xf numFmtId="173" fontId="43" fillId="0" borderId="0" xfId="4" applyNumberFormat="1" applyFont="1" applyFill="1" applyBorder="1" applyAlignment="1">
      <alignment vertical="center"/>
    </xf>
    <xf numFmtId="0" fontId="46" fillId="0" borderId="0" xfId="4" applyFont="1" applyFill="1" applyBorder="1" applyAlignment="1">
      <alignment horizontal="left" vertical="center"/>
    </xf>
    <xf numFmtId="166" fontId="42" fillId="0" borderId="0" xfId="4" applyNumberFormat="1" applyFont="1" applyFill="1" applyBorder="1" applyAlignment="1">
      <alignment vertical="center"/>
    </xf>
    <xf numFmtId="2" fontId="42" fillId="0" borderId="0" xfId="4" applyNumberFormat="1" applyFont="1" applyFill="1" applyBorder="1" applyAlignment="1">
      <alignment vertical="center"/>
    </xf>
    <xf numFmtId="178" fontId="46" fillId="0" borderId="0" xfId="4" applyNumberFormat="1" applyFont="1" applyFill="1" applyBorder="1" applyAlignment="1">
      <alignment horizontal="left" vertical="center"/>
    </xf>
    <xf numFmtId="179" fontId="40" fillId="0" borderId="0" xfId="4" applyNumberFormat="1" applyFont="1" applyFill="1" applyBorder="1" applyAlignment="1">
      <alignment horizontal="center" vertical="center"/>
    </xf>
    <xf numFmtId="0" fontId="48" fillId="0" borderId="0" xfId="4" applyFont="1" applyFill="1" applyBorder="1" applyAlignment="1">
      <alignment vertical="center"/>
    </xf>
    <xf numFmtId="164" fontId="42" fillId="0" borderId="0" xfId="4" applyNumberFormat="1" applyFont="1" applyFill="1" applyBorder="1" applyAlignment="1">
      <alignment horizontal="center" vertical="center"/>
    </xf>
    <xf numFmtId="173" fontId="46" fillId="0" borderId="0" xfId="4" applyNumberFormat="1" applyFont="1" applyFill="1" applyBorder="1" applyAlignment="1">
      <alignment horizontal="center" vertical="center"/>
    </xf>
    <xf numFmtId="176" fontId="42" fillId="0" borderId="0" xfId="4" applyNumberFormat="1" applyFont="1" applyFill="1" applyBorder="1" applyAlignment="1">
      <alignment horizontal="center" vertical="center"/>
    </xf>
    <xf numFmtId="0" fontId="42" fillId="0" borderId="0" xfId="4" applyFont="1" applyFill="1" applyBorder="1" applyAlignment="1">
      <alignment vertical="center" wrapText="1"/>
    </xf>
    <xf numFmtId="0" fontId="40" fillId="0" borderId="0" xfId="4" applyFont="1" applyFill="1" applyBorder="1" applyAlignment="1">
      <alignment vertical="center" wrapText="1"/>
    </xf>
    <xf numFmtId="173" fontId="42" fillId="0" borderId="0" xfId="4" applyNumberFormat="1" applyFont="1" applyFill="1" applyBorder="1" applyAlignment="1">
      <alignment horizontal="center" vertical="center"/>
    </xf>
    <xf numFmtId="173" fontId="43" fillId="0" borderId="0" xfId="4" applyNumberFormat="1" applyFont="1" applyFill="1" applyBorder="1" applyAlignment="1">
      <alignment horizontal="center" vertical="center"/>
    </xf>
    <xf numFmtId="180" fontId="42" fillId="0" borderId="0" xfId="4" applyNumberFormat="1" applyFont="1" applyFill="1" applyBorder="1" applyAlignment="1">
      <alignment horizontal="center" vertical="center"/>
    </xf>
    <xf numFmtId="179" fontId="42" fillId="0" borderId="0" xfId="4" applyNumberFormat="1" applyFont="1" applyFill="1" applyBorder="1" applyAlignment="1">
      <alignment horizontal="center" vertical="center"/>
    </xf>
    <xf numFmtId="0" fontId="43" fillId="0" borderId="0" xfId="4" applyFont="1" applyFill="1" applyBorder="1" applyAlignment="1">
      <alignment horizontal="justify" vertical="center" wrapText="1"/>
    </xf>
    <xf numFmtId="0" fontId="41" fillId="0" borderId="0" xfId="4" applyFont="1" applyFill="1" applyBorder="1" applyAlignment="1">
      <alignment horizontal="justify" vertical="center" wrapText="1"/>
    </xf>
    <xf numFmtId="0" fontId="42" fillId="0" borderId="0" xfId="4" applyFont="1" applyFill="1" applyBorder="1" applyAlignment="1">
      <alignment horizontal="justify" vertical="center" wrapText="1"/>
    </xf>
    <xf numFmtId="0" fontId="40" fillId="0" borderId="0" xfId="4" applyFont="1" applyFill="1" applyBorder="1" applyAlignment="1">
      <alignment horizontal="justify" vertical="center" wrapText="1"/>
    </xf>
    <xf numFmtId="0" fontId="43" fillId="0" borderId="0" xfId="4" applyFont="1" applyFill="1" applyBorder="1" applyAlignment="1">
      <alignment vertical="center" wrapText="1"/>
    </xf>
    <xf numFmtId="0" fontId="41" fillId="0" borderId="0" xfId="4" applyFont="1" applyFill="1" applyBorder="1" applyAlignment="1">
      <alignment vertical="center" wrapText="1"/>
    </xf>
    <xf numFmtId="0" fontId="43" fillId="0" borderId="0" xfId="4" applyFont="1" applyFill="1" applyBorder="1" applyAlignment="1">
      <alignment horizontal="justify" vertical="center" wrapText="1" shrinkToFit="1"/>
    </xf>
    <xf numFmtId="0" fontId="43" fillId="0" borderId="0" xfId="4" applyFont="1" applyFill="1" applyBorder="1" applyAlignment="1">
      <alignment horizontal="center" vertical="center"/>
    </xf>
    <xf numFmtId="2" fontId="42" fillId="0" borderId="0" xfId="4" applyNumberFormat="1" applyFont="1" applyFill="1" applyBorder="1" applyAlignment="1">
      <alignment horizontal="center" vertical="center"/>
    </xf>
    <xf numFmtId="0" fontId="40" fillId="0" borderId="0" xfId="4" applyFont="1" applyFill="1" applyBorder="1" applyAlignment="1">
      <alignment horizontal="center" vertical="center"/>
    </xf>
    <xf numFmtId="0" fontId="40" fillId="0" borderId="0" xfId="4" applyFont="1" applyFill="1" applyBorder="1" applyAlignment="1">
      <alignment horizontal="left" vertical="center"/>
    </xf>
    <xf numFmtId="2" fontId="40" fillId="0" borderId="0" xfId="4" applyNumberFormat="1" applyFont="1" applyFill="1" applyBorder="1" applyAlignment="1">
      <alignment horizontal="center" vertical="center"/>
    </xf>
    <xf numFmtId="0" fontId="42" fillId="0" borderId="0" xfId="4" applyFont="1" applyFill="1" applyBorder="1" applyAlignment="1">
      <alignment horizontal="center" vertical="center"/>
    </xf>
    <xf numFmtId="1" fontId="46" fillId="0" borderId="0" xfId="4" applyNumberFormat="1" applyFont="1" applyFill="1" applyBorder="1" applyAlignment="1">
      <alignment horizontal="center" vertical="center"/>
    </xf>
    <xf numFmtId="167" fontId="42" fillId="0" borderId="0" xfId="4" applyNumberFormat="1" applyFont="1" applyFill="1" applyBorder="1" applyAlignment="1">
      <alignment horizontal="center" vertical="center"/>
    </xf>
    <xf numFmtId="0" fontId="50" fillId="0" borderId="0" xfId="4" applyFont="1" applyFill="1" applyBorder="1" applyAlignment="1">
      <alignment vertical="center"/>
    </xf>
    <xf numFmtId="0" fontId="51" fillId="0" borderId="0" xfId="4" applyFont="1" applyFill="1" applyBorder="1" applyAlignment="1">
      <alignment horizontal="left" vertical="center"/>
    </xf>
    <xf numFmtId="175" fontId="42" fillId="0" borderId="0" xfId="4" applyNumberFormat="1" applyFont="1" applyFill="1" applyBorder="1" applyAlignment="1">
      <alignment horizontal="left" vertical="center"/>
    </xf>
    <xf numFmtId="2" fontId="42" fillId="0" borderId="0" xfId="4" applyNumberFormat="1" applyFont="1" applyFill="1" applyBorder="1" applyAlignment="1">
      <alignment horizontal="left" vertical="center"/>
    </xf>
    <xf numFmtId="166" fontId="46" fillId="0" borderId="0" xfId="4" applyNumberFormat="1" applyFont="1" applyFill="1" applyBorder="1" applyAlignment="1">
      <alignment horizontal="left" vertical="center"/>
    </xf>
    <xf numFmtId="173" fontId="42" fillId="0" borderId="0" xfId="4" applyNumberFormat="1" applyFont="1" applyFill="1" applyBorder="1" applyAlignment="1">
      <alignment horizontal="left" vertical="center"/>
    </xf>
    <xf numFmtId="0" fontId="46" fillId="0" borderId="0" xfId="4" applyFont="1" applyFill="1" applyBorder="1" applyAlignment="1">
      <alignment vertical="center"/>
    </xf>
    <xf numFmtId="166" fontId="42" fillId="0" borderId="0" xfId="4" applyNumberFormat="1" applyFont="1" applyFill="1" applyBorder="1" applyAlignment="1">
      <alignment horizontal="left" vertical="center"/>
    </xf>
    <xf numFmtId="173" fontId="46" fillId="0" borderId="0" xfId="4" applyNumberFormat="1" applyFont="1" applyFill="1" applyBorder="1" applyAlignment="1">
      <alignment horizontal="left" vertical="center"/>
    </xf>
    <xf numFmtId="0" fontId="49" fillId="0" borderId="0" xfId="4" applyFont="1" applyFill="1" applyBorder="1" applyAlignment="1">
      <alignment vertical="center"/>
    </xf>
    <xf numFmtId="173" fontId="40" fillId="0" borderId="0" xfId="4" applyNumberFormat="1" applyFont="1" applyFill="1" applyBorder="1" applyAlignment="1">
      <alignment horizontal="left" vertical="center"/>
    </xf>
    <xf numFmtId="2" fontId="40" fillId="0" borderId="0" xfId="4" applyNumberFormat="1" applyFont="1" applyFill="1" applyBorder="1" applyAlignment="1">
      <alignment horizontal="left" vertical="center"/>
    </xf>
    <xf numFmtId="181" fontId="43" fillId="0" borderId="0" xfId="4" applyNumberFormat="1" applyFont="1" applyFill="1" applyBorder="1" applyAlignment="1">
      <alignment horizontal="center" vertical="center"/>
    </xf>
    <xf numFmtId="182" fontId="43" fillId="0" borderId="0" xfId="4" applyNumberFormat="1" applyFont="1" applyFill="1" applyBorder="1" applyAlignment="1">
      <alignment horizontal="center" vertical="center"/>
    </xf>
    <xf numFmtId="2" fontId="46" fillId="0" borderId="0" xfId="4" applyNumberFormat="1" applyFont="1" applyFill="1" applyBorder="1" applyAlignment="1">
      <alignment vertical="center"/>
    </xf>
    <xf numFmtId="1" fontId="42" fillId="0" borderId="0" xfId="4" applyNumberFormat="1" applyFont="1" applyFill="1" applyBorder="1" applyAlignment="1">
      <alignment vertical="center"/>
    </xf>
    <xf numFmtId="0" fontId="51" fillId="0" borderId="0" xfId="4" applyFont="1" applyFill="1" applyBorder="1" applyAlignment="1">
      <alignment vertical="center"/>
    </xf>
    <xf numFmtId="0" fontId="40" fillId="0" borderId="0" xfId="4" applyFont="1" applyFill="1" applyBorder="1" applyAlignment="1">
      <alignment horizontal="right" vertical="center"/>
    </xf>
    <xf numFmtId="173" fontId="43" fillId="0" borderId="0" xfId="4" applyNumberFormat="1" applyFont="1" applyFill="1" applyBorder="1" applyAlignment="1">
      <alignment horizontal="left" vertical="center"/>
    </xf>
    <xf numFmtId="0" fontId="41" fillId="0" borderId="0" xfId="4" applyNumberFormat="1" applyFont="1" applyFill="1" applyBorder="1" applyAlignment="1">
      <alignment horizontal="center" vertical="center"/>
    </xf>
    <xf numFmtId="165" fontId="40" fillId="0" borderId="0" xfId="4" applyNumberFormat="1" applyFont="1" applyFill="1" applyBorder="1" applyAlignment="1">
      <alignment horizontal="center" vertical="center"/>
    </xf>
    <xf numFmtId="166" fontId="40" fillId="0" borderId="0" xfId="4" applyNumberFormat="1" applyFont="1" applyFill="1" applyBorder="1" applyAlignment="1">
      <alignment horizontal="center" vertical="center"/>
    </xf>
    <xf numFmtId="183" fontId="40" fillId="0" borderId="0" xfId="4" applyNumberFormat="1" applyFont="1" applyFill="1" applyBorder="1" applyAlignment="1">
      <alignment horizontal="center" vertical="center"/>
    </xf>
    <xf numFmtId="0" fontId="40" fillId="0" borderId="0" xfId="4" applyNumberFormat="1" applyFont="1" applyFill="1" applyBorder="1" applyAlignment="1">
      <alignment horizontal="right" vertical="center"/>
    </xf>
    <xf numFmtId="184" fontId="40" fillId="0" borderId="0" xfId="4" applyNumberFormat="1" applyFont="1" applyFill="1" applyBorder="1" applyAlignment="1">
      <alignment horizontal="center" vertical="center"/>
    </xf>
    <xf numFmtId="0" fontId="49" fillId="0" borderId="0" xfId="4" applyNumberFormat="1" applyFont="1" applyFill="1" applyBorder="1" applyAlignment="1">
      <alignment vertical="center"/>
    </xf>
    <xf numFmtId="185" fontId="46" fillId="0" borderId="0" xfId="4" applyNumberFormat="1" applyFont="1" applyFill="1" applyBorder="1" applyAlignment="1">
      <alignment horizontal="center" vertical="center"/>
    </xf>
    <xf numFmtId="176" fontId="40" fillId="0" borderId="0" xfId="4" applyNumberFormat="1" applyFont="1" applyFill="1" applyBorder="1" applyAlignment="1">
      <alignment horizontal="center" vertical="center"/>
    </xf>
    <xf numFmtId="0" fontId="41" fillId="0" borderId="0" xfId="4" applyNumberFormat="1" applyFont="1" applyFill="1" applyBorder="1" applyAlignment="1">
      <alignment horizontal="right" vertical="center"/>
    </xf>
    <xf numFmtId="179" fontId="41" fillId="0" borderId="0" xfId="4" applyNumberFormat="1" applyFont="1" applyFill="1" applyBorder="1" applyAlignment="1">
      <alignment horizontal="center" vertical="center"/>
    </xf>
    <xf numFmtId="0" fontId="41" fillId="0" borderId="0" xfId="4" applyFont="1" applyFill="1" applyBorder="1" applyAlignment="1">
      <alignment horizontal="center" vertical="center"/>
    </xf>
    <xf numFmtId="166" fontId="21" fillId="4" borderId="0" xfId="0" applyNumberFormat="1" applyFont="1" applyFill="1" applyBorder="1" applyAlignment="1">
      <alignment horizontal="right" vertical="center"/>
    </xf>
    <xf numFmtId="1" fontId="18" fillId="4" borderId="0" xfId="0" applyNumberFormat="1" applyFont="1" applyFill="1" applyAlignment="1">
      <alignment horizontal="right" vertical="center"/>
    </xf>
    <xf numFmtId="0" fontId="21" fillId="4" borderId="0" xfId="0" applyFont="1" applyFill="1" applyAlignment="1">
      <alignment horizontal="centerContinuous" vertical="center"/>
    </xf>
    <xf numFmtId="166" fontId="21" fillId="0" borderId="0" xfId="0" applyNumberFormat="1" applyFont="1" applyFill="1" applyBorder="1" applyAlignment="1">
      <alignment vertical="center"/>
    </xf>
    <xf numFmtId="164" fontId="43" fillId="0" borderId="0" xfId="4" applyNumberFormat="1" applyFont="1" applyFill="1" applyBorder="1" applyAlignment="1">
      <alignment vertical="center"/>
    </xf>
    <xf numFmtId="2" fontId="43" fillId="0" borderId="0" xfId="4" applyNumberFormat="1" applyFont="1" applyFill="1" applyBorder="1" applyAlignment="1">
      <alignment vertical="center"/>
    </xf>
    <xf numFmtId="166" fontId="42" fillId="0" borderId="0" xfId="4" applyNumberFormat="1" applyFont="1" applyFill="1" applyBorder="1" applyAlignment="1">
      <alignment horizontal="center" vertical="center"/>
    </xf>
    <xf numFmtId="0" fontId="18" fillId="0" borderId="0" xfId="0" applyFont="1" applyAlignment="1">
      <alignment horizontal="justify" vertical="center" wrapText="1"/>
    </xf>
    <xf numFmtId="0" fontId="18" fillId="0" borderId="0" xfId="0" applyFont="1" applyFill="1" applyAlignment="1">
      <alignment horizontal="justify" vertical="center" wrapText="1"/>
    </xf>
    <xf numFmtId="0" fontId="21" fillId="0" borderId="0" xfId="0" applyFont="1" applyFill="1" applyAlignment="1">
      <alignment horizontal="center" vertical="center"/>
    </xf>
    <xf numFmtId="0" fontId="18" fillId="0" borderId="0" xfId="0" applyFont="1" applyAlignment="1">
      <alignment horizontal="center" vertical="center"/>
    </xf>
    <xf numFmtId="0" fontId="31" fillId="0" borderId="0" xfId="0" applyFont="1" applyFill="1" applyAlignment="1">
      <alignment horizontal="justify" vertical="center" wrapText="1"/>
    </xf>
    <xf numFmtId="0" fontId="19" fillId="0" borderId="0" xfId="0" applyFont="1" applyFill="1" applyAlignment="1">
      <alignment horizontal="center" vertical="center" wrapText="1"/>
    </xf>
    <xf numFmtId="0" fontId="21" fillId="0" borderId="0" xfId="0" applyFont="1" applyAlignment="1">
      <alignment horizontal="center" vertical="center"/>
    </xf>
    <xf numFmtId="0" fontId="18" fillId="0" borderId="0" xfId="0" applyFont="1" applyAlignment="1">
      <alignment horizontal="justify" vertical="center"/>
    </xf>
    <xf numFmtId="0" fontId="18" fillId="0" borderId="0" xfId="0" applyFont="1" applyAlignment="1">
      <alignment vertical="center"/>
    </xf>
    <xf numFmtId="0" fontId="21" fillId="0" borderId="0" xfId="0" applyFont="1" applyAlignment="1">
      <alignment horizontal="justify" vertical="center" wrapText="1"/>
    </xf>
    <xf numFmtId="0" fontId="0" fillId="0" borderId="0" xfId="0" applyAlignment="1">
      <alignment horizontal="justify" vertical="center" wrapText="1"/>
    </xf>
    <xf numFmtId="0" fontId="21" fillId="0" borderId="0" xfId="0" applyFont="1" applyFill="1" applyAlignment="1">
      <alignment horizontal="justify" vertical="center" wrapText="1"/>
    </xf>
    <xf numFmtId="0" fontId="0" fillId="0" borderId="0" xfId="0" applyFill="1" applyAlignment="1">
      <alignment horizontal="justify" vertical="center" wrapText="1"/>
    </xf>
    <xf numFmtId="0" fontId="21" fillId="0" borderId="0" xfId="4" applyFont="1" applyAlignment="1">
      <alignment horizontal="center" vertical="center"/>
    </xf>
    <xf numFmtId="0" fontId="21" fillId="0" borderId="0" xfId="4" applyFont="1" applyAlignment="1">
      <alignment horizontal="center" vertical="center" wrapText="1"/>
    </xf>
    <xf numFmtId="0" fontId="18" fillId="0" borderId="0" xfId="4" applyFont="1" applyAlignment="1">
      <alignment horizontal="center" vertical="center"/>
    </xf>
    <xf numFmtId="0" fontId="7" fillId="0" borderId="0" xfId="0" applyFont="1" applyFill="1" applyAlignment="1">
      <alignment horizontal="justify" vertical="center" wrapText="1"/>
    </xf>
    <xf numFmtId="0" fontId="7" fillId="0" borderId="0" xfId="0" applyFont="1" applyAlignment="1">
      <alignment horizontal="justify" vertical="center" wrapText="1"/>
    </xf>
    <xf numFmtId="0" fontId="4" fillId="0" borderId="0" xfId="0" applyFont="1" applyAlignment="1">
      <alignment horizontal="center" vertical="center"/>
    </xf>
    <xf numFmtId="0" fontId="7" fillId="0" borderId="0" xfId="0" applyFont="1" applyAlignment="1">
      <alignment horizontal="justify" vertical="center"/>
    </xf>
    <xf numFmtId="0" fontId="7" fillId="0" borderId="0" xfId="0" applyFont="1" applyAlignment="1">
      <alignment vertical="center"/>
    </xf>
    <xf numFmtId="0" fontId="7" fillId="0" borderId="0" xfId="0" applyFont="1" applyAlignment="1">
      <alignment horizontal="left" vertical="center" wrapText="1"/>
    </xf>
    <xf numFmtId="168" fontId="4" fillId="0" borderId="0" xfId="0" applyNumberFormat="1" applyFont="1" applyBorder="1" applyAlignment="1">
      <alignment horizontal="center" vertical="center"/>
    </xf>
    <xf numFmtId="170" fontId="4" fillId="0" borderId="4" xfId="0" applyNumberFormat="1" applyFont="1" applyBorder="1" applyAlignment="1">
      <alignment horizontal="center" vertical="center"/>
    </xf>
    <xf numFmtId="170" fontId="4" fillId="0" borderId="3" xfId="0" applyNumberFormat="1" applyFont="1" applyBorder="1" applyAlignment="1">
      <alignment horizontal="center" vertical="center"/>
    </xf>
    <xf numFmtId="0" fontId="7" fillId="0" borderId="0" xfId="0" applyNumberFormat="1" applyFont="1" applyAlignment="1">
      <alignment horizontal="justify"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4" xfId="0" applyFont="1" applyBorder="1" applyAlignment="1">
      <alignment horizontal="center" vertical="center"/>
    </xf>
    <xf numFmtId="0" fontId="4" fillId="0" borderId="3"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0" xfId="0" applyFont="1" applyFill="1" applyAlignment="1">
      <alignment horizontal="center" vertical="center" wrapText="1"/>
    </xf>
    <xf numFmtId="0" fontId="7"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0" fontId="42" fillId="0" borderId="0" xfId="4" applyFont="1" applyFill="1" applyBorder="1" applyAlignment="1">
      <alignment horizontal="justify" vertical="center" wrapText="1"/>
    </xf>
    <xf numFmtId="0" fontId="41" fillId="0" borderId="0" xfId="4" applyNumberFormat="1" applyFont="1" applyFill="1" applyBorder="1" applyAlignment="1">
      <alignment horizontal="center" vertical="center"/>
    </xf>
    <xf numFmtId="0" fontId="48" fillId="0" borderId="0" xfId="0" applyFont="1" applyFill="1" applyBorder="1" applyAlignment="1">
      <alignment horizontal="justify" vertical="center" wrapText="1"/>
    </xf>
    <xf numFmtId="0" fontId="49" fillId="0" borderId="0" xfId="0" applyFont="1" applyFill="1" applyBorder="1" applyAlignment="1">
      <alignment horizontal="justify" vertical="center" wrapText="1"/>
    </xf>
    <xf numFmtId="0" fontId="40" fillId="0" borderId="0" xfId="0" applyFont="1" applyFill="1" applyBorder="1" applyAlignment="1">
      <alignment horizontal="justify" vertical="center" wrapText="1"/>
    </xf>
    <xf numFmtId="0" fontId="42" fillId="0" borderId="0" xfId="4" applyFont="1" applyFill="1" applyBorder="1" applyAlignment="1">
      <alignment horizontal="justify" vertical="center" wrapText="1" shrinkToFit="1"/>
    </xf>
    <xf numFmtId="0" fontId="40" fillId="0" borderId="0" xfId="4" applyFont="1" applyFill="1" applyBorder="1" applyAlignment="1">
      <alignment vertical="center" wrapText="1"/>
    </xf>
    <xf numFmtId="0" fontId="43" fillId="0" borderId="0" xfId="4" applyFont="1" applyFill="1" applyBorder="1" applyAlignment="1">
      <alignment horizontal="center" vertical="center"/>
    </xf>
    <xf numFmtId="0" fontId="42" fillId="0" borderId="0" xfId="4" applyFont="1" applyFill="1" applyBorder="1" applyAlignment="1">
      <alignment horizontal="right" vertical="center"/>
    </xf>
    <xf numFmtId="0" fontId="43" fillId="0" borderId="0" xfId="4" applyFont="1" applyFill="1" applyBorder="1" applyAlignment="1">
      <alignment horizontal="justify" vertical="center" wrapText="1" shrinkToFit="1"/>
    </xf>
    <xf numFmtId="0" fontId="43" fillId="0" borderId="0" xfId="4" applyFont="1" applyFill="1" applyBorder="1" applyAlignment="1">
      <alignment horizontal="justify" vertical="center" wrapText="1"/>
    </xf>
    <xf numFmtId="0" fontId="47" fillId="0" borderId="0" xfId="4" applyFont="1" applyFill="1" applyBorder="1" applyAlignment="1">
      <alignment horizontal="justify" vertical="center" wrapText="1"/>
    </xf>
    <xf numFmtId="0" fontId="49" fillId="0" borderId="0" xfId="4" applyFont="1" applyFill="1" applyBorder="1" applyAlignment="1">
      <alignment horizontal="justify" vertical="center" wrapText="1"/>
    </xf>
    <xf numFmtId="0" fontId="43" fillId="0" borderId="0" xfId="4" applyFont="1" applyFill="1" applyBorder="1" applyAlignment="1">
      <alignment vertical="center" wrapText="1"/>
    </xf>
    <xf numFmtId="0" fontId="41" fillId="0" borderId="0" xfId="4" applyFont="1" applyFill="1" applyBorder="1" applyAlignment="1">
      <alignment vertical="center" wrapText="1"/>
    </xf>
    <xf numFmtId="0" fontId="44" fillId="0" borderId="0" xfId="4" applyFont="1" applyFill="1" applyBorder="1" applyAlignment="1">
      <alignment horizontal="center" vertical="center"/>
    </xf>
    <xf numFmtId="0" fontId="45" fillId="0" borderId="0" xfId="4" applyFont="1" applyFill="1" applyBorder="1" applyAlignment="1">
      <alignment horizontal="center" vertical="center"/>
    </xf>
    <xf numFmtId="0" fontId="41" fillId="0" borderId="0" xfId="4" applyFont="1" applyFill="1" applyBorder="1" applyAlignment="1">
      <alignment horizontal="justify" vertical="center" wrapText="1"/>
    </xf>
    <xf numFmtId="0" fontId="41" fillId="0" borderId="0" xfId="0" applyFont="1" applyFill="1" applyBorder="1" applyAlignment="1">
      <alignment horizontal="justify" vertical="center" wrapText="1"/>
    </xf>
    <xf numFmtId="0" fontId="40" fillId="0" borderId="0" xfId="4" applyFont="1" applyFill="1" applyBorder="1" applyAlignment="1">
      <alignment horizontal="center" vertical="center"/>
    </xf>
    <xf numFmtId="0" fontId="41" fillId="0" borderId="0" xfId="4" applyFont="1" applyFill="1" applyBorder="1" applyAlignment="1">
      <alignment horizontal="center" vertical="center"/>
    </xf>
    <xf numFmtId="0" fontId="41" fillId="0" borderId="0" xfId="4" applyFont="1" applyFill="1" applyBorder="1" applyAlignment="1">
      <alignment horizontal="center" vertical="center" wrapText="1"/>
    </xf>
    <xf numFmtId="1" fontId="21" fillId="0" borderId="0" xfId="0" applyNumberFormat="1" applyFont="1" applyAlignment="1">
      <alignment horizontal="justify" vertical="center" wrapText="1"/>
    </xf>
    <xf numFmtId="0" fontId="34" fillId="0" borderId="0" xfId="0" applyFont="1" applyAlignment="1">
      <alignment horizontal="center" vertical="center" wrapText="1"/>
    </xf>
    <xf numFmtId="0" fontId="34" fillId="0" borderId="0" xfId="0" applyFont="1" applyAlignment="1">
      <alignment horizontal="center" vertical="center"/>
    </xf>
    <xf numFmtId="1" fontId="18" fillId="0" borderId="0" xfId="0" applyNumberFormat="1" applyFont="1" applyAlignment="1">
      <alignment horizontal="justify" vertical="center" wrapText="1"/>
    </xf>
    <xf numFmtId="0" fontId="20" fillId="0" borderId="0" xfId="0" applyFont="1" applyAlignment="1">
      <alignment horizontal="center" vertical="center"/>
    </xf>
    <xf numFmtId="0" fontId="18" fillId="0" borderId="0" xfId="0" applyFont="1" applyFill="1" applyAlignment="1">
      <alignment horizontal="justify" vertical="center"/>
    </xf>
    <xf numFmtId="0" fontId="21" fillId="0" borderId="0" xfId="0" applyFont="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horizontal="center" vertical="center"/>
    </xf>
    <xf numFmtId="0" fontId="39" fillId="0" borderId="0" xfId="0" applyFont="1" applyAlignment="1">
      <alignment horizontal="justify" vertical="center"/>
    </xf>
    <xf numFmtId="0" fontId="4" fillId="0" borderId="0" xfId="0" applyFont="1" applyAlignment="1">
      <alignment horizontal="justify" vertical="center"/>
    </xf>
    <xf numFmtId="0" fontId="0" fillId="0" borderId="29" xfId="0" applyBorder="1" applyAlignment="1">
      <alignment horizontal="justify" vertical="center"/>
    </xf>
    <xf numFmtId="0" fontId="0" fillId="0" borderId="30" xfId="0" applyBorder="1" applyAlignment="1">
      <alignment horizontal="justify" vertical="center"/>
    </xf>
    <xf numFmtId="0" fontId="0" fillId="0" borderId="11" xfId="0" applyBorder="1" applyAlignment="1">
      <alignment horizontal="justify" vertical="center"/>
    </xf>
    <xf numFmtId="0" fontId="0" fillId="0" borderId="31" xfId="0" applyBorder="1" applyAlignment="1">
      <alignment horizontal="justify" vertical="center"/>
    </xf>
    <xf numFmtId="0" fontId="0" fillId="0" borderId="0" xfId="0" applyFill="1" applyBorder="1" applyAlignment="1">
      <alignment horizontal="center" vertical="center"/>
    </xf>
    <xf numFmtId="1" fontId="10" fillId="0" borderId="0" xfId="3" applyNumberFormat="1" applyFont="1" applyAlignment="1">
      <alignment horizontal="center" vertical="center"/>
    </xf>
  </cellXfs>
  <cellStyles count="7">
    <cellStyle name="Euro" xfId="1"/>
    <cellStyle name="Normal" xfId="0" builtinId="0"/>
    <cellStyle name="Normal 2" xfId="4"/>
    <cellStyle name="Normal_anexo 3.1" xfId="2"/>
    <cellStyle name="Normal_DESARENA" xfId="3"/>
    <cellStyle name="Normal_PRESUPTARJARDIN" xfId="6"/>
    <cellStyle name="Normal_PTAR primaria san Carlos"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76200</xdr:colOff>
      <xdr:row>4</xdr:row>
      <xdr:rowOff>104775</xdr:rowOff>
    </xdr:from>
    <xdr:to>
      <xdr:col>6</xdr:col>
      <xdr:colOff>1524000</xdr:colOff>
      <xdr:row>6</xdr:row>
      <xdr:rowOff>137815</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0600" y="752475"/>
          <a:ext cx="1447800" cy="3759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95250</xdr:colOff>
      <xdr:row>3</xdr:row>
      <xdr:rowOff>9525</xdr:rowOff>
    </xdr:from>
    <xdr:to>
      <xdr:col>0</xdr:col>
      <xdr:colOff>1187096</xdr:colOff>
      <xdr:row>7</xdr:row>
      <xdr:rowOff>95250</xdr:rowOff>
    </xdr:to>
    <xdr:pic>
      <xdr:nvPicPr>
        <xdr:cNvPr id="9"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495300"/>
          <a:ext cx="1091846"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257175</xdr:colOff>
      <xdr:row>1</xdr:row>
      <xdr:rowOff>428625</xdr:rowOff>
    </xdr:to>
    <xdr:pic>
      <xdr:nvPicPr>
        <xdr:cNvPr id="54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050"/>
          <a:ext cx="1019175" cy="676275"/>
        </a:xfrm>
        <a:prstGeom prst="rect">
          <a:avLst/>
        </a:prstGeom>
        <a:noFill/>
      </xdr:spPr>
    </xdr:pic>
    <xdr:clientData/>
  </xdr:twoCellAnchor>
  <xdr:twoCellAnchor editAs="absolute">
    <xdr:from>
      <xdr:col>3</xdr:col>
      <xdr:colOff>0</xdr:colOff>
      <xdr:row>0</xdr:row>
      <xdr:rowOff>152400</xdr:rowOff>
    </xdr:from>
    <xdr:to>
      <xdr:col>6</xdr:col>
      <xdr:colOff>847725</xdr:colOff>
      <xdr:row>1</xdr:row>
      <xdr:rowOff>342900</xdr:rowOff>
    </xdr:to>
    <xdr:sp macro="" textlink="">
      <xdr:nvSpPr>
        <xdr:cNvPr id="54280" name="Text Box 8"/>
        <xdr:cNvSpPr txBox="1">
          <a:spLocks noChangeArrowheads="1"/>
        </xdr:cNvSpPr>
      </xdr:nvSpPr>
      <xdr:spPr bwMode="auto">
        <a:xfrm>
          <a:off x="2381250" y="152400"/>
          <a:ext cx="3009900" cy="45720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s-ES" sz="900" b="1" i="0" strike="noStrike">
              <a:solidFill>
                <a:srgbClr val="000000"/>
              </a:solidFill>
              <a:latin typeface="Times New Roman"/>
              <a:cs typeface="Times New Roman"/>
            </a:rPr>
            <a:t>Informe de Diagnóstico de los Planes Maestros de</a:t>
          </a:r>
        </a:p>
        <a:p>
          <a:pPr algn="ctr" rtl="0">
            <a:defRPr sz="1000"/>
          </a:pPr>
          <a:r>
            <a:rPr lang="es-ES" sz="900" b="1" i="0" strike="noStrike">
              <a:solidFill>
                <a:srgbClr val="000000"/>
              </a:solidFill>
              <a:latin typeface="Times New Roman"/>
              <a:cs typeface="Times New Roman"/>
            </a:rPr>
            <a:t> Acueducto y Alcantarillado del Área Urbana y</a:t>
          </a:r>
        </a:p>
        <a:p>
          <a:pPr algn="ctr" rtl="0">
            <a:defRPr sz="1000"/>
          </a:pPr>
          <a:r>
            <a:rPr lang="es-ES" sz="900" b="1" i="0" strike="noStrike">
              <a:solidFill>
                <a:srgbClr val="000000"/>
              </a:solidFill>
              <a:latin typeface="Times New Roman"/>
              <a:cs typeface="Times New Roman"/>
            </a:rPr>
            <a:t> Centro Poblado de Puerto Venus - Municipio de Nariño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1114425</xdr:colOff>
      <xdr:row>152</xdr:row>
      <xdr:rowOff>0</xdr:rowOff>
    </xdr:from>
    <xdr:to>
      <xdr:col>2</xdr:col>
      <xdr:colOff>1076325</xdr:colOff>
      <xdr:row>152</xdr:row>
      <xdr:rowOff>0</xdr:rowOff>
    </xdr:to>
    <xdr:sp macro="" textlink="">
      <xdr:nvSpPr>
        <xdr:cNvPr id="2" name="Line 1"/>
        <xdr:cNvSpPr>
          <a:spLocks noChangeShapeType="1"/>
        </xdr:cNvSpPr>
      </xdr:nvSpPr>
      <xdr:spPr bwMode="auto">
        <a:xfrm flipV="1">
          <a:off x="2952750"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152</xdr:row>
      <xdr:rowOff>0</xdr:rowOff>
    </xdr:from>
    <xdr:to>
      <xdr:col>2</xdr:col>
      <xdr:colOff>704850</xdr:colOff>
      <xdr:row>152</xdr:row>
      <xdr:rowOff>0</xdr:rowOff>
    </xdr:to>
    <xdr:grpSp>
      <xdr:nvGrpSpPr>
        <xdr:cNvPr id="3" name="Group 2"/>
        <xdr:cNvGrpSpPr>
          <a:grpSpLocks/>
        </xdr:cNvGrpSpPr>
      </xdr:nvGrpSpPr>
      <xdr:grpSpPr bwMode="auto">
        <a:xfrm>
          <a:off x="2533650" y="25126950"/>
          <a:ext cx="457200" cy="0"/>
          <a:chOff x="5658" y="49614"/>
          <a:chExt cx="758" cy="232"/>
        </a:xfrm>
      </xdr:grpSpPr>
      <xdr:sp macro="" textlink="">
        <xdr:nvSpPr>
          <xdr:cNvPr id="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152</xdr:row>
      <xdr:rowOff>0</xdr:rowOff>
    </xdr:from>
    <xdr:to>
      <xdr:col>3</xdr:col>
      <xdr:colOff>342900</xdr:colOff>
      <xdr:row>152</xdr:row>
      <xdr:rowOff>0</xdr:rowOff>
    </xdr:to>
    <xdr:grpSp>
      <xdr:nvGrpSpPr>
        <xdr:cNvPr id="6" name="Group 5"/>
        <xdr:cNvGrpSpPr>
          <a:grpSpLocks/>
        </xdr:cNvGrpSpPr>
      </xdr:nvGrpSpPr>
      <xdr:grpSpPr bwMode="auto">
        <a:xfrm>
          <a:off x="3162300" y="25126950"/>
          <a:ext cx="342900" cy="0"/>
          <a:chOff x="6788" y="49578"/>
          <a:chExt cx="1863" cy="260"/>
        </a:xfrm>
      </xdr:grpSpPr>
      <xdr:sp macro="" textlink="">
        <xdr:nvSpPr>
          <xdr:cNvPr id="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152</xdr:row>
      <xdr:rowOff>0</xdr:rowOff>
    </xdr:from>
    <xdr:to>
      <xdr:col>3</xdr:col>
      <xdr:colOff>0</xdr:colOff>
      <xdr:row>152</xdr:row>
      <xdr:rowOff>0</xdr:rowOff>
    </xdr:to>
    <xdr:grpSp>
      <xdr:nvGrpSpPr>
        <xdr:cNvPr id="9" name="Group 8"/>
        <xdr:cNvGrpSpPr>
          <a:grpSpLocks/>
        </xdr:cNvGrpSpPr>
      </xdr:nvGrpSpPr>
      <xdr:grpSpPr bwMode="auto">
        <a:xfrm>
          <a:off x="3162300" y="25126950"/>
          <a:ext cx="0" cy="0"/>
          <a:chOff x="8550" y="49590"/>
          <a:chExt cx="644" cy="432"/>
        </a:xfrm>
      </xdr:grpSpPr>
      <xdr:sp macro="" textlink="">
        <xdr:nvSpPr>
          <xdr:cNvPr id="1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152</xdr:row>
      <xdr:rowOff>0</xdr:rowOff>
    </xdr:from>
    <xdr:to>
      <xdr:col>0</xdr:col>
      <xdr:colOff>923925</xdr:colOff>
      <xdr:row>152</xdr:row>
      <xdr:rowOff>0</xdr:rowOff>
    </xdr:to>
    <xdr:sp macro="" textlink="">
      <xdr:nvSpPr>
        <xdr:cNvPr id="12" name="Line 11"/>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152</xdr:row>
      <xdr:rowOff>0</xdr:rowOff>
    </xdr:from>
    <xdr:to>
      <xdr:col>0</xdr:col>
      <xdr:colOff>923925</xdr:colOff>
      <xdr:row>152</xdr:row>
      <xdr:rowOff>0</xdr:rowOff>
    </xdr:to>
    <xdr:sp macro="" textlink="">
      <xdr:nvSpPr>
        <xdr:cNvPr id="13" name="Line 12"/>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152</xdr:row>
      <xdr:rowOff>0</xdr:rowOff>
    </xdr:from>
    <xdr:to>
      <xdr:col>1</xdr:col>
      <xdr:colOff>66675</xdr:colOff>
      <xdr:row>152</xdr:row>
      <xdr:rowOff>0</xdr:rowOff>
    </xdr:to>
    <xdr:grpSp>
      <xdr:nvGrpSpPr>
        <xdr:cNvPr id="14" name="Group 13"/>
        <xdr:cNvGrpSpPr>
          <a:grpSpLocks/>
        </xdr:cNvGrpSpPr>
      </xdr:nvGrpSpPr>
      <xdr:grpSpPr bwMode="auto">
        <a:xfrm>
          <a:off x="1343025" y="25126950"/>
          <a:ext cx="66675" cy="0"/>
          <a:chOff x="1314" y="49942"/>
          <a:chExt cx="2106" cy="260"/>
        </a:xfrm>
      </xdr:grpSpPr>
      <xdr:sp macro="" textlink="">
        <xdr:nvSpPr>
          <xdr:cNvPr id="1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152</xdr:row>
      <xdr:rowOff>0</xdr:rowOff>
    </xdr:from>
    <xdr:to>
      <xdr:col>1</xdr:col>
      <xdr:colOff>723900</xdr:colOff>
      <xdr:row>152</xdr:row>
      <xdr:rowOff>0</xdr:rowOff>
    </xdr:to>
    <xdr:sp macro="" textlink="">
      <xdr:nvSpPr>
        <xdr:cNvPr id="17" name="Line 16"/>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152</xdr:row>
      <xdr:rowOff>0</xdr:rowOff>
    </xdr:from>
    <xdr:to>
      <xdr:col>1</xdr:col>
      <xdr:colOff>723900</xdr:colOff>
      <xdr:row>152</xdr:row>
      <xdr:rowOff>0</xdr:rowOff>
    </xdr:to>
    <xdr:sp macro="" textlink="">
      <xdr:nvSpPr>
        <xdr:cNvPr id="18" name="Line 17"/>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152</xdr:row>
      <xdr:rowOff>0</xdr:rowOff>
    </xdr:from>
    <xdr:to>
      <xdr:col>2</xdr:col>
      <xdr:colOff>28575</xdr:colOff>
      <xdr:row>152</xdr:row>
      <xdr:rowOff>0</xdr:rowOff>
    </xdr:to>
    <xdr:grpSp>
      <xdr:nvGrpSpPr>
        <xdr:cNvPr id="19" name="Group 18"/>
        <xdr:cNvGrpSpPr>
          <a:grpSpLocks/>
        </xdr:cNvGrpSpPr>
      </xdr:nvGrpSpPr>
      <xdr:grpSpPr bwMode="auto">
        <a:xfrm>
          <a:off x="1943100" y="25126950"/>
          <a:ext cx="371475" cy="0"/>
          <a:chOff x="4301" y="49818"/>
          <a:chExt cx="1005" cy="432"/>
        </a:xfrm>
      </xdr:grpSpPr>
      <xdr:sp macro="" textlink="">
        <xdr:nvSpPr>
          <xdr:cNvPr id="2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152</xdr:row>
      <xdr:rowOff>0</xdr:rowOff>
    </xdr:from>
    <xdr:to>
      <xdr:col>1</xdr:col>
      <xdr:colOff>571500</xdr:colOff>
      <xdr:row>152</xdr:row>
      <xdr:rowOff>0</xdr:rowOff>
    </xdr:to>
    <xdr:grpSp>
      <xdr:nvGrpSpPr>
        <xdr:cNvPr id="22" name="Group 21"/>
        <xdr:cNvGrpSpPr>
          <a:grpSpLocks/>
        </xdr:cNvGrpSpPr>
      </xdr:nvGrpSpPr>
      <xdr:grpSpPr bwMode="auto">
        <a:xfrm>
          <a:off x="1457325" y="25126950"/>
          <a:ext cx="457200" cy="0"/>
          <a:chOff x="3511" y="50389"/>
          <a:chExt cx="758" cy="260"/>
        </a:xfrm>
      </xdr:grpSpPr>
      <xdr:sp macro="" textlink="">
        <xdr:nvSpPr>
          <xdr:cNvPr id="2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152</xdr:row>
      <xdr:rowOff>0</xdr:rowOff>
    </xdr:from>
    <xdr:to>
      <xdr:col>0</xdr:col>
      <xdr:colOff>638175</xdr:colOff>
      <xdr:row>152</xdr:row>
      <xdr:rowOff>0</xdr:rowOff>
    </xdr:to>
    <xdr:sp macro="" textlink="">
      <xdr:nvSpPr>
        <xdr:cNvPr id="25" name="Line 24"/>
        <xdr:cNvSpPr>
          <a:spLocks noChangeShapeType="1"/>
        </xdr:cNvSpPr>
      </xdr:nvSpPr>
      <xdr:spPr bwMode="auto">
        <a:xfrm>
          <a:off x="63817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152</xdr:row>
      <xdr:rowOff>0</xdr:rowOff>
    </xdr:from>
    <xdr:to>
      <xdr:col>0</xdr:col>
      <xdr:colOff>619125</xdr:colOff>
      <xdr:row>152</xdr:row>
      <xdr:rowOff>0</xdr:rowOff>
    </xdr:to>
    <xdr:sp macro="" textlink="">
      <xdr:nvSpPr>
        <xdr:cNvPr id="26" name="Line 25"/>
        <xdr:cNvSpPr>
          <a:spLocks noChangeShapeType="1"/>
        </xdr:cNvSpPr>
      </xdr:nvSpPr>
      <xdr:spPr bwMode="auto">
        <a:xfrm>
          <a:off x="6191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152</xdr:row>
      <xdr:rowOff>0</xdr:rowOff>
    </xdr:from>
    <xdr:to>
      <xdr:col>1</xdr:col>
      <xdr:colOff>0</xdr:colOff>
      <xdr:row>152</xdr:row>
      <xdr:rowOff>0</xdr:rowOff>
    </xdr:to>
    <xdr:grpSp>
      <xdr:nvGrpSpPr>
        <xdr:cNvPr id="27" name="Group 26"/>
        <xdr:cNvGrpSpPr>
          <a:grpSpLocks/>
        </xdr:cNvGrpSpPr>
      </xdr:nvGrpSpPr>
      <xdr:grpSpPr bwMode="auto">
        <a:xfrm>
          <a:off x="485775" y="25126950"/>
          <a:ext cx="857250" cy="0"/>
          <a:chOff x="802" y="49805"/>
          <a:chExt cx="532" cy="632"/>
        </a:xfrm>
      </xdr:grpSpPr>
      <xdr:sp macro="" textlink="">
        <xdr:nvSpPr>
          <xdr:cNvPr id="2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152</xdr:row>
      <xdr:rowOff>0</xdr:rowOff>
    </xdr:from>
    <xdr:to>
      <xdr:col>7</xdr:col>
      <xdr:colOff>2028825</xdr:colOff>
      <xdr:row>152</xdr:row>
      <xdr:rowOff>0</xdr:rowOff>
    </xdr:to>
    <xdr:sp macro="" textlink="">
      <xdr:nvSpPr>
        <xdr:cNvPr id="30" name="Rectangle 33"/>
        <xdr:cNvSpPr>
          <a:spLocks noChangeArrowheads="1"/>
        </xdr:cNvSpPr>
      </xdr:nvSpPr>
      <xdr:spPr bwMode="auto">
        <a:xfrm>
          <a:off x="5410200" y="314706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187</xdr:row>
      <xdr:rowOff>0</xdr:rowOff>
    </xdr:from>
    <xdr:to>
      <xdr:col>2</xdr:col>
      <xdr:colOff>1076325</xdr:colOff>
      <xdr:row>187</xdr:row>
      <xdr:rowOff>0</xdr:rowOff>
    </xdr:to>
    <xdr:sp macro="" textlink="">
      <xdr:nvSpPr>
        <xdr:cNvPr id="31" name="Line 1"/>
        <xdr:cNvSpPr>
          <a:spLocks noChangeShapeType="1"/>
        </xdr:cNvSpPr>
      </xdr:nvSpPr>
      <xdr:spPr bwMode="auto">
        <a:xfrm flipV="1">
          <a:off x="2952750"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187</xdr:row>
      <xdr:rowOff>0</xdr:rowOff>
    </xdr:from>
    <xdr:to>
      <xdr:col>2</xdr:col>
      <xdr:colOff>704850</xdr:colOff>
      <xdr:row>187</xdr:row>
      <xdr:rowOff>0</xdr:rowOff>
    </xdr:to>
    <xdr:grpSp>
      <xdr:nvGrpSpPr>
        <xdr:cNvPr id="32" name="Group 2"/>
        <xdr:cNvGrpSpPr>
          <a:grpSpLocks/>
        </xdr:cNvGrpSpPr>
      </xdr:nvGrpSpPr>
      <xdr:grpSpPr bwMode="auto">
        <a:xfrm>
          <a:off x="2533650" y="30794325"/>
          <a:ext cx="457200" cy="0"/>
          <a:chOff x="5658" y="49614"/>
          <a:chExt cx="758" cy="232"/>
        </a:xfrm>
      </xdr:grpSpPr>
      <xdr:sp macro="" textlink="">
        <xdr:nvSpPr>
          <xdr:cNvPr id="3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187</xdr:row>
      <xdr:rowOff>0</xdr:rowOff>
    </xdr:from>
    <xdr:to>
      <xdr:col>3</xdr:col>
      <xdr:colOff>342900</xdr:colOff>
      <xdr:row>187</xdr:row>
      <xdr:rowOff>0</xdr:rowOff>
    </xdr:to>
    <xdr:grpSp>
      <xdr:nvGrpSpPr>
        <xdr:cNvPr id="35" name="Group 5"/>
        <xdr:cNvGrpSpPr>
          <a:grpSpLocks/>
        </xdr:cNvGrpSpPr>
      </xdr:nvGrpSpPr>
      <xdr:grpSpPr bwMode="auto">
        <a:xfrm>
          <a:off x="3162300" y="30794325"/>
          <a:ext cx="342900" cy="0"/>
          <a:chOff x="6788" y="49578"/>
          <a:chExt cx="1863" cy="260"/>
        </a:xfrm>
      </xdr:grpSpPr>
      <xdr:sp macro="" textlink="">
        <xdr:nvSpPr>
          <xdr:cNvPr id="3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187</xdr:row>
      <xdr:rowOff>0</xdr:rowOff>
    </xdr:from>
    <xdr:to>
      <xdr:col>3</xdr:col>
      <xdr:colOff>0</xdr:colOff>
      <xdr:row>187</xdr:row>
      <xdr:rowOff>0</xdr:rowOff>
    </xdr:to>
    <xdr:grpSp>
      <xdr:nvGrpSpPr>
        <xdr:cNvPr id="38" name="Group 8"/>
        <xdr:cNvGrpSpPr>
          <a:grpSpLocks/>
        </xdr:cNvGrpSpPr>
      </xdr:nvGrpSpPr>
      <xdr:grpSpPr bwMode="auto">
        <a:xfrm>
          <a:off x="3162300" y="30794325"/>
          <a:ext cx="0" cy="0"/>
          <a:chOff x="8550" y="49590"/>
          <a:chExt cx="644" cy="432"/>
        </a:xfrm>
      </xdr:grpSpPr>
      <xdr:sp macro="" textlink="">
        <xdr:nvSpPr>
          <xdr:cNvPr id="3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187</xdr:row>
      <xdr:rowOff>0</xdr:rowOff>
    </xdr:from>
    <xdr:to>
      <xdr:col>0</xdr:col>
      <xdr:colOff>923925</xdr:colOff>
      <xdr:row>187</xdr:row>
      <xdr:rowOff>0</xdr:rowOff>
    </xdr:to>
    <xdr:sp macro="" textlink="">
      <xdr:nvSpPr>
        <xdr:cNvPr id="41" name="Line 11"/>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187</xdr:row>
      <xdr:rowOff>0</xdr:rowOff>
    </xdr:from>
    <xdr:to>
      <xdr:col>0</xdr:col>
      <xdr:colOff>923925</xdr:colOff>
      <xdr:row>187</xdr:row>
      <xdr:rowOff>0</xdr:rowOff>
    </xdr:to>
    <xdr:sp macro="" textlink="">
      <xdr:nvSpPr>
        <xdr:cNvPr id="42" name="Line 12"/>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187</xdr:row>
      <xdr:rowOff>0</xdr:rowOff>
    </xdr:from>
    <xdr:to>
      <xdr:col>1</xdr:col>
      <xdr:colOff>66675</xdr:colOff>
      <xdr:row>187</xdr:row>
      <xdr:rowOff>0</xdr:rowOff>
    </xdr:to>
    <xdr:grpSp>
      <xdr:nvGrpSpPr>
        <xdr:cNvPr id="43" name="Group 13"/>
        <xdr:cNvGrpSpPr>
          <a:grpSpLocks/>
        </xdr:cNvGrpSpPr>
      </xdr:nvGrpSpPr>
      <xdr:grpSpPr bwMode="auto">
        <a:xfrm>
          <a:off x="1343025" y="30794325"/>
          <a:ext cx="66675" cy="0"/>
          <a:chOff x="1314" y="49942"/>
          <a:chExt cx="2106" cy="260"/>
        </a:xfrm>
      </xdr:grpSpPr>
      <xdr:sp macro="" textlink="">
        <xdr:nvSpPr>
          <xdr:cNvPr id="4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187</xdr:row>
      <xdr:rowOff>0</xdr:rowOff>
    </xdr:from>
    <xdr:to>
      <xdr:col>1</xdr:col>
      <xdr:colOff>723900</xdr:colOff>
      <xdr:row>187</xdr:row>
      <xdr:rowOff>0</xdr:rowOff>
    </xdr:to>
    <xdr:sp macro="" textlink="">
      <xdr:nvSpPr>
        <xdr:cNvPr id="46" name="Line 16"/>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187</xdr:row>
      <xdr:rowOff>0</xdr:rowOff>
    </xdr:from>
    <xdr:to>
      <xdr:col>1</xdr:col>
      <xdr:colOff>723900</xdr:colOff>
      <xdr:row>187</xdr:row>
      <xdr:rowOff>0</xdr:rowOff>
    </xdr:to>
    <xdr:sp macro="" textlink="">
      <xdr:nvSpPr>
        <xdr:cNvPr id="47" name="Line 17"/>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187</xdr:row>
      <xdr:rowOff>0</xdr:rowOff>
    </xdr:from>
    <xdr:to>
      <xdr:col>2</xdr:col>
      <xdr:colOff>28575</xdr:colOff>
      <xdr:row>187</xdr:row>
      <xdr:rowOff>0</xdr:rowOff>
    </xdr:to>
    <xdr:grpSp>
      <xdr:nvGrpSpPr>
        <xdr:cNvPr id="48" name="Group 18"/>
        <xdr:cNvGrpSpPr>
          <a:grpSpLocks/>
        </xdr:cNvGrpSpPr>
      </xdr:nvGrpSpPr>
      <xdr:grpSpPr bwMode="auto">
        <a:xfrm>
          <a:off x="1943100" y="30794325"/>
          <a:ext cx="371475" cy="0"/>
          <a:chOff x="4301" y="49818"/>
          <a:chExt cx="1005" cy="432"/>
        </a:xfrm>
      </xdr:grpSpPr>
      <xdr:sp macro="" textlink="">
        <xdr:nvSpPr>
          <xdr:cNvPr id="4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187</xdr:row>
      <xdr:rowOff>0</xdr:rowOff>
    </xdr:from>
    <xdr:to>
      <xdr:col>1</xdr:col>
      <xdr:colOff>571500</xdr:colOff>
      <xdr:row>187</xdr:row>
      <xdr:rowOff>0</xdr:rowOff>
    </xdr:to>
    <xdr:grpSp>
      <xdr:nvGrpSpPr>
        <xdr:cNvPr id="51" name="Group 21"/>
        <xdr:cNvGrpSpPr>
          <a:grpSpLocks/>
        </xdr:cNvGrpSpPr>
      </xdr:nvGrpSpPr>
      <xdr:grpSpPr bwMode="auto">
        <a:xfrm>
          <a:off x="1457325" y="30794325"/>
          <a:ext cx="457200" cy="0"/>
          <a:chOff x="3511" y="50389"/>
          <a:chExt cx="758" cy="260"/>
        </a:xfrm>
      </xdr:grpSpPr>
      <xdr:sp macro="" textlink="">
        <xdr:nvSpPr>
          <xdr:cNvPr id="5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187</xdr:row>
      <xdr:rowOff>0</xdr:rowOff>
    </xdr:from>
    <xdr:to>
      <xdr:col>0</xdr:col>
      <xdr:colOff>638175</xdr:colOff>
      <xdr:row>187</xdr:row>
      <xdr:rowOff>0</xdr:rowOff>
    </xdr:to>
    <xdr:sp macro="" textlink="">
      <xdr:nvSpPr>
        <xdr:cNvPr id="54" name="Line 24"/>
        <xdr:cNvSpPr>
          <a:spLocks noChangeShapeType="1"/>
        </xdr:cNvSpPr>
      </xdr:nvSpPr>
      <xdr:spPr bwMode="auto">
        <a:xfrm>
          <a:off x="63817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187</xdr:row>
      <xdr:rowOff>0</xdr:rowOff>
    </xdr:from>
    <xdr:to>
      <xdr:col>0</xdr:col>
      <xdr:colOff>619125</xdr:colOff>
      <xdr:row>187</xdr:row>
      <xdr:rowOff>0</xdr:rowOff>
    </xdr:to>
    <xdr:sp macro="" textlink="">
      <xdr:nvSpPr>
        <xdr:cNvPr id="55" name="Line 25"/>
        <xdr:cNvSpPr>
          <a:spLocks noChangeShapeType="1"/>
        </xdr:cNvSpPr>
      </xdr:nvSpPr>
      <xdr:spPr bwMode="auto">
        <a:xfrm>
          <a:off x="6191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187</xdr:row>
      <xdr:rowOff>0</xdr:rowOff>
    </xdr:from>
    <xdr:to>
      <xdr:col>1</xdr:col>
      <xdr:colOff>0</xdr:colOff>
      <xdr:row>187</xdr:row>
      <xdr:rowOff>0</xdr:rowOff>
    </xdr:to>
    <xdr:grpSp>
      <xdr:nvGrpSpPr>
        <xdr:cNvPr id="56" name="Group 26"/>
        <xdr:cNvGrpSpPr>
          <a:grpSpLocks/>
        </xdr:cNvGrpSpPr>
      </xdr:nvGrpSpPr>
      <xdr:grpSpPr bwMode="auto">
        <a:xfrm>
          <a:off x="485775" y="30794325"/>
          <a:ext cx="857250" cy="0"/>
          <a:chOff x="802" y="49805"/>
          <a:chExt cx="532" cy="632"/>
        </a:xfrm>
      </xdr:grpSpPr>
      <xdr:sp macro="" textlink="">
        <xdr:nvSpPr>
          <xdr:cNvPr id="5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187</xdr:row>
      <xdr:rowOff>0</xdr:rowOff>
    </xdr:from>
    <xdr:to>
      <xdr:col>7</xdr:col>
      <xdr:colOff>2028825</xdr:colOff>
      <xdr:row>187</xdr:row>
      <xdr:rowOff>0</xdr:rowOff>
    </xdr:to>
    <xdr:sp macro="" textlink="">
      <xdr:nvSpPr>
        <xdr:cNvPr id="59" name="Rectangle 33"/>
        <xdr:cNvSpPr>
          <a:spLocks noChangeArrowheads="1"/>
        </xdr:cNvSpPr>
      </xdr:nvSpPr>
      <xdr:spPr bwMode="auto">
        <a:xfrm>
          <a:off x="5410200" y="397383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6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676274"/>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6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409576"/>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1114425</xdr:colOff>
      <xdr:row>152</xdr:row>
      <xdr:rowOff>0</xdr:rowOff>
    </xdr:from>
    <xdr:to>
      <xdr:col>2</xdr:col>
      <xdr:colOff>1076325</xdr:colOff>
      <xdr:row>152</xdr:row>
      <xdr:rowOff>0</xdr:rowOff>
    </xdr:to>
    <xdr:sp macro="" textlink="">
      <xdr:nvSpPr>
        <xdr:cNvPr id="62" name="Line 1"/>
        <xdr:cNvSpPr>
          <a:spLocks noChangeShapeType="1"/>
        </xdr:cNvSpPr>
      </xdr:nvSpPr>
      <xdr:spPr bwMode="auto">
        <a:xfrm flipV="1">
          <a:off x="2952750"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152</xdr:row>
      <xdr:rowOff>0</xdr:rowOff>
    </xdr:from>
    <xdr:to>
      <xdr:col>2</xdr:col>
      <xdr:colOff>704850</xdr:colOff>
      <xdr:row>152</xdr:row>
      <xdr:rowOff>0</xdr:rowOff>
    </xdr:to>
    <xdr:grpSp>
      <xdr:nvGrpSpPr>
        <xdr:cNvPr id="63" name="Group 2"/>
        <xdr:cNvGrpSpPr>
          <a:grpSpLocks/>
        </xdr:cNvGrpSpPr>
      </xdr:nvGrpSpPr>
      <xdr:grpSpPr bwMode="auto">
        <a:xfrm>
          <a:off x="2533650" y="25126950"/>
          <a:ext cx="457200" cy="0"/>
          <a:chOff x="5658" y="49614"/>
          <a:chExt cx="758" cy="232"/>
        </a:xfrm>
      </xdr:grpSpPr>
      <xdr:sp macro="" textlink="">
        <xdr:nvSpPr>
          <xdr:cNvPr id="6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152</xdr:row>
      <xdr:rowOff>0</xdr:rowOff>
    </xdr:from>
    <xdr:to>
      <xdr:col>3</xdr:col>
      <xdr:colOff>342900</xdr:colOff>
      <xdr:row>152</xdr:row>
      <xdr:rowOff>0</xdr:rowOff>
    </xdr:to>
    <xdr:grpSp>
      <xdr:nvGrpSpPr>
        <xdr:cNvPr id="66" name="Group 5"/>
        <xdr:cNvGrpSpPr>
          <a:grpSpLocks/>
        </xdr:cNvGrpSpPr>
      </xdr:nvGrpSpPr>
      <xdr:grpSpPr bwMode="auto">
        <a:xfrm>
          <a:off x="3162300" y="25126950"/>
          <a:ext cx="342900" cy="0"/>
          <a:chOff x="6788" y="49578"/>
          <a:chExt cx="1863" cy="260"/>
        </a:xfrm>
      </xdr:grpSpPr>
      <xdr:sp macro="" textlink="">
        <xdr:nvSpPr>
          <xdr:cNvPr id="6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152</xdr:row>
      <xdr:rowOff>0</xdr:rowOff>
    </xdr:from>
    <xdr:to>
      <xdr:col>3</xdr:col>
      <xdr:colOff>0</xdr:colOff>
      <xdr:row>152</xdr:row>
      <xdr:rowOff>0</xdr:rowOff>
    </xdr:to>
    <xdr:grpSp>
      <xdr:nvGrpSpPr>
        <xdr:cNvPr id="69" name="Group 8"/>
        <xdr:cNvGrpSpPr>
          <a:grpSpLocks/>
        </xdr:cNvGrpSpPr>
      </xdr:nvGrpSpPr>
      <xdr:grpSpPr bwMode="auto">
        <a:xfrm>
          <a:off x="3162300" y="25126950"/>
          <a:ext cx="0" cy="0"/>
          <a:chOff x="8550" y="49590"/>
          <a:chExt cx="644" cy="432"/>
        </a:xfrm>
      </xdr:grpSpPr>
      <xdr:sp macro="" textlink="">
        <xdr:nvSpPr>
          <xdr:cNvPr id="7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152</xdr:row>
      <xdr:rowOff>0</xdr:rowOff>
    </xdr:from>
    <xdr:to>
      <xdr:col>0</xdr:col>
      <xdr:colOff>923925</xdr:colOff>
      <xdr:row>152</xdr:row>
      <xdr:rowOff>0</xdr:rowOff>
    </xdr:to>
    <xdr:sp macro="" textlink="">
      <xdr:nvSpPr>
        <xdr:cNvPr id="72" name="Line 11"/>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152</xdr:row>
      <xdr:rowOff>0</xdr:rowOff>
    </xdr:from>
    <xdr:to>
      <xdr:col>0</xdr:col>
      <xdr:colOff>923925</xdr:colOff>
      <xdr:row>152</xdr:row>
      <xdr:rowOff>0</xdr:rowOff>
    </xdr:to>
    <xdr:sp macro="" textlink="">
      <xdr:nvSpPr>
        <xdr:cNvPr id="73" name="Line 12"/>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152</xdr:row>
      <xdr:rowOff>0</xdr:rowOff>
    </xdr:from>
    <xdr:to>
      <xdr:col>1</xdr:col>
      <xdr:colOff>66675</xdr:colOff>
      <xdr:row>152</xdr:row>
      <xdr:rowOff>0</xdr:rowOff>
    </xdr:to>
    <xdr:grpSp>
      <xdr:nvGrpSpPr>
        <xdr:cNvPr id="74" name="Group 13"/>
        <xdr:cNvGrpSpPr>
          <a:grpSpLocks/>
        </xdr:cNvGrpSpPr>
      </xdr:nvGrpSpPr>
      <xdr:grpSpPr bwMode="auto">
        <a:xfrm>
          <a:off x="1343025" y="25126950"/>
          <a:ext cx="66675" cy="0"/>
          <a:chOff x="1314" y="49942"/>
          <a:chExt cx="2106" cy="260"/>
        </a:xfrm>
      </xdr:grpSpPr>
      <xdr:sp macro="" textlink="">
        <xdr:nvSpPr>
          <xdr:cNvPr id="7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152</xdr:row>
      <xdr:rowOff>0</xdr:rowOff>
    </xdr:from>
    <xdr:to>
      <xdr:col>1</xdr:col>
      <xdr:colOff>723900</xdr:colOff>
      <xdr:row>152</xdr:row>
      <xdr:rowOff>0</xdr:rowOff>
    </xdr:to>
    <xdr:sp macro="" textlink="">
      <xdr:nvSpPr>
        <xdr:cNvPr id="77" name="Line 16"/>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152</xdr:row>
      <xdr:rowOff>0</xdr:rowOff>
    </xdr:from>
    <xdr:to>
      <xdr:col>1</xdr:col>
      <xdr:colOff>723900</xdr:colOff>
      <xdr:row>152</xdr:row>
      <xdr:rowOff>0</xdr:rowOff>
    </xdr:to>
    <xdr:sp macro="" textlink="">
      <xdr:nvSpPr>
        <xdr:cNvPr id="78" name="Line 17"/>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152</xdr:row>
      <xdr:rowOff>0</xdr:rowOff>
    </xdr:from>
    <xdr:to>
      <xdr:col>2</xdr:col>
      <xdr:colOff>28575</xdr:colOff>
      <xdr:row>152</xdr:row>
      <xdr:rowOff>0</xdr:rowOff>
    </xdr:to>
    <xdr:grpSp>
      <xdr:nvGrpSpPr>
        <xdr:cNvPr id="79" name="Group 18"/>
        <xdr:cNvGrpSpPr>
          <a:grpSpLocks/>
        </xdr:cNvGrpSpPr>
      </xdr:nvGrpSpPr>
      <xdr:grpSpPr bwMode="auto">
        <a:xfrm>
          <a:off x="1943100" y="25126950"/>
          <a:ext cx="371475" cy="0"/>
          <a:chOff x="4301" y="49818"/>
          <a:chExt cx="1005" cy="432"/>
        </a:xfrm>
      </xdr:grpSpPr>
      <xdr:sp macro="" textlink="">
        <xdr:nvSpPr>
          <xdr:cNvPr id="8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152</xdr:row>
      <xdr:rowOff>0</xdr:rowOff>
    </xdr:from>
    <xdr:to>
      <xdr:col>1</xdr:col>
      <xdr:colOff>571500</xdr:colOff>
      <xdr:row>152</xdr:row>
      <xdr:rowOff>0</xdr:rowOff>
    </xdr:to>
    <xdr:grpSp>
      <xdr:nvGrpSpPr>
        <xdr:cNvPr id="82" name="Group 21"/>
        <xdr:cNvGrpSpPr>
          <a:grpSpLocks/>
        </xdr:cNvGrpSpPr>
      </xdr:nvGrpSpPr>
      <xdr:grpSpPr bwMode="auto">
        <a:xfrm>
          <a:off x="1457325" y="25126950"/>
          <a:ext cx="457200" cy="0"/>
          <a:chOff x="3511" y="50389"/>
          <a:chExt cx="758" cy="260"/>
        </a:xfrm>
      </xdr:grpSpPr>
      <xdr:sp macro="" textlink="">
        <xdr:nvSpPr>
          <xdr:cNvPr id="8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152</xdr:row>
      <xdr:rowOff>0</xdr:rowOff>
    </xdr:from>
    <xdr:to>
      <xdr:col>0</xdr:col>
      <xdr:colOff>638175</xdr:colOff>
      <xdr:row>152</xdr:row>
      <xdr:rowOff>0</xdr:rowOff>
    </xdr:to>
    <xdr:sp macro="" textlink="">
      <xdr:nvSpPr>
        <xdr:cNvPr id="85" name="Line 24"/>
        <xdr:cNvSpPr>
          <a:spLocks noChangeShapeType="1"/>
        </xdr:cNvSpPr>
      </xdr:nvSpPr>
      <xdr:spPr bwMode="auto">
        <a:xfrm>
          <a:off x="63817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152</xdr:row>
      <xdr:rowOff>0</xdr:rowOff>
    </xdr:from>
    <xdr:to>
      <xdr:col>0</xdr:col>
      <xdr:colOff>619125</xdr:colOff>
      <xdr:row>152</xdr:row>
      <xdr:rowOff>0</xdr:rowOff>
    </xdr:to>
    <xdr:sp macro="" textlink="">
      <xdr:nvSpPr>
        <xdr:cNvPr id="86" name="Line 25"/>
        <xdr:cNvSpPr>
          <a:spLocks noChangeShapeType="1"/>
        </xdr:cNvSpPr>
      </xdr:nvSpPr>
      <xdr:spPr bwMode="auto">
        <a:xfrm>
          <a:off x="6191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152</xdr:row>
      <xdr:rowOff>0</xdr:rowOff>
    </xdr:from>
    <xdr:to>
      <xdr:col>1</xdr:col>
      <xdr:colOff>0</xdr:colOff>
      <xdr:row>152</xdr:row>
      <xdr:rowOff>0</xdr:rowOff>
    </xdr:to>
    <xdr:grpSp>
      <xdr:nvGrpSpPr>
        <xdr:cNvPr id="87" name="Group 26"/>
        <xdr:cNvGrpSpPr>
          <a:grpSpLocks/>
        </xdr:cNvGrpSpPr>
      </xdr:nvGrpSpPr>
      <xdr:grpSpPr bwMode="auto">
        <a:xfrm>
          <a:off x="485775" y="25126950"/>
          <a:ext cx="857250" cy="0"/>
          <a:chOff x="802" y="49805"/>
          <a:chExt cx="532" cy="632"/>
        </a:xfrm>
      </xdr:grpSpPr>
      <xdr:sp macro="" textlink="">
        <xdr:nvSpPr>
          <xdr:cNvPr id="8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152</xdr:row>
      <xdr:rowOff>0</xdr:rowOff>
    </xdr:from>
    <xdr:to>
      <xdr:col>7</xdr:col>
      <xdr:colOff>2028825</xdr:colOff>
      <xdr:row>152</xdr:row>
      <xdr:rowOff>0</xdr:rowOff>
    </xdr:to>
    <xdr:sp macro="" textlink="">
      <xdr:nvSpPr>
        <xdr:cNvPr id="90" name="Rectangle 33"/>
        <xdr:cNvSpPr>
          <a:spLocks noChangeArrowheads="1"/>
        </xdr:cNvSpPr>
      </xdr:nvSpPr>
      <xdr:spPr bwMode="auto">
        <a:xfrm>
          <a:off x="5410200" y="314706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187</xdr:row>
      <xdr:rowOff>0</xdr:rowOff>
    </xdr:from>
    <xdr:to>
      <xdr:col>2</xdr:col>
      <xdr:colOff>1076325</xdr:colOff>
      <xdr:row>187</xdr:row>
      <xdr:rowOff>0</xdr:rowOff>
    </xdr:to>
    <xdr:sp macro="" textlink="">
      <xdr:nvSpPr>
        <xdr:cNvPr id="91" name="Line 1"/>
        <xdr:cNvSpPr>
          <a:spLocks noChangeShapeType="1"/>
        </xdr:cNvSpPr>
      </xdr:nvSpPr>
      <xdr:spPr bwMode="auto">
        <a:xfrm flipV="1">
          <a:off x="2952750"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187</xdr:row>
      <xdr:rowOff>0</xdr:rowOff>
    </xdr:from>
    <xdr:to>
      <xdr:col>2</xdr:col>
      <xdr:colOff>704850</xdr:colOff>
      <xdr:row>187</xdr:row>
      <xdr:rowOff>0</xdr:rowOff>
    </xdr:to>
    <xdr:grpSp>
      <xdr:nvGrpSpPr>
        <xdr:cNvPr id="92" name="Group 2"/>
        <xdr:cNvGrpSpPr>
          <a:grpSpLocks/>
        </xdr:cNvGrpSpPr>
      </xdr:nvGrpSpPr>
      <xdr:grpSpPr bwMode="auto">
        <a:xfrm>
          <a:off x="2533650" y="30794325"/>
          <a:ext cx="457200" cy="0"/>
          <a:chOff x="5658" y="49614"/>
          <a:chExt cx="758" cy="232"/>
        </a:xfrm>
      </xdr:grpSpPr>
      <xdr:sp macro="" textlink="">
        <xdr:nvSpPr>
          <xdr:cNvPr id="9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187</xdr:row>
      <xdr:rowOff>0</xdr:rowOff>
    </xdr:from>
    <xdr:to>
      <xdr:col>3</xdr:col>
      <xdr:colOff>342900</xdr:colOff>
      <xdr:row>187</xdr:row>
      <xdr:rowOff>0</xdr:rowOff>
    </xdr:to>
    <xdr:grpSp>
      <xdr:nvGrpSpPr>
        <xdr:cNvPr id="95" name="Group 5"/>
        <xdr:cNvGrpSpPr>
          <a:grpSpLocks/>
        </xdr:cNvGrpSpPr>
      </xdr:nvGrpSpPr>
      <xdr:grpSpPr bwMode="auto">
        <a:xfrm>
          <a:off x="3162300" y="30794325"/>
          <a:ext cx="342900" cy="0"/>
          <a:chOff x="6788" y="49578"/>
          <a:chExt cx="1863" cy="260"/>
        </a:xfrm>
      </xdr:grpSpPr>
      <xdr:sp macro="" textlink="">
        <xdr:nvSpPr>
          <xdr:cNvPr id="9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187</xdr:row>
      <xdr:rowOff>0</xdr:rowOff>
    </xdr:from>
    <xdr:to>
      <xdr:col>3</xdr:col>
      <xdr:colOff>0</xdr:colOff>
      <xdr:row>187</xdr:row>
      <xdr:rowOff>0</xdr:rowOff>
    </xdr:to>
    <xdr:grpSp>
      <xdr:nvGrpSpPr>
        <xdr:cNvPr id="98" name="Group 8"/>
        <xdr:cNvGrpSpPr>
          <a:grpSpLocks/>
        </xdr:cNvGrpSpPr>
      </xdr:nvGrpSpPr>
      <xdr:grpSpPr bwMode="auto">
        <a:xfrm>
          <a:off x="3162300" y="30794325"/>
          <a:ext cx="0" cy="0"/>
          <a:chOff x="8550" y="49590"/>
          <a:chExt cx="644" cy="432"/>
        </a:xfrm>
      </xdr:grpSpPr>
      <xdr:sp macro="" textlink="">
        <xdr:nvSpPr>
          <xdr:cNvPr id="9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187</xdr:row>
      <xdr:rowOff>0</xdr:rowOff>
    </xdr:from>
    <xdr:to>
      <xdr:col>0</xdr:col>
      <xdr:colOff>923925</xdr:colOff>
      <xdr:row>187</xdr:row>
      <xdr:rowOff>0</xdr:rowOff>
    </xdr:to>
    <xdr:sp macro="" textlink="">
      <xdr:nvSpPr>
        <xdr:cNvPr id="101" name="Line 11"/>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187</xdr:row>
      <xdr:rowOff>0</xdr:rowOff>
    </xdr:from>
    <xdr:to>
      <xdr:col>0</xdr:col>
      <xdr:colOff>923925</xdr:colOff>
      <xdr:row>187</xdr:row>
      <xdr:rowOff>0</xdr:rowOff>
    </xdr:to>
    <xdr:sp macro="" textlink="">
      <xdr:nvSpPr>
        <xdr:cNvPr id="102" name="Line 12"/>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187</xdr:row>
      <xdr:rowOff>0</xdr:rowOff>
    </xdr:from>
    <xdr:to>
      <xdr:col>1</xdr:col>
      <xdr:colOff>66675</xdr:colOff>
      <xdr:row>187</xdr:row>
      <xdr:rowOff>0</xdr:rowOff>
    </xdr:to>
    <xdr:grpSp>
      <xdr:nvGrpSpPr>
        <xdr:cNvPr id="103" name="Group 13"/>
        <xdr:cNvGrpSpPr>
          <a:grpSpLocks/>
        </xdr:cNvGrpSpPr>
      </xdr:nvGrpSpPr>
      <xdr:grpSpPr bwMode="auto">
        <a:xfrm>
          <a:off x="1343025" y="30794325"/>
          <a:ext cx="66675" cy="0"/>
          <a:chOff x="1314" y="49942"/>
          <a:chExt cx="2106" cy="260"/>
        </a:xfrm>
      </xdr:grpSpPr>
      <xdr:sp macro="" textlink="">
        <xdr:nvSpPr>
          <xdr:cNvPr id="10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187</xdr:row>
      <xdr:rowOff>0</xdr:rowOff>
    </xdr:from>
    <xdr:to>
      <xdr:col>1</xdr:col>
      <xdr:colOff>723900</xdr:colOff>
      <xdr:row>187</xdr:row>
      <xdr:rowOff>0</xdr:rowOff>
    </xdr:to>
    <xdr:sp macro="" textlink="">
      <xdr:nvSpPr>
        <xdr:cNvPr id="106" name="Line 16"/>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187</xdr:row>
      <xdr:rowOff>0</xdr:rowOff>
    </xdr:from>
    <xdr:to>
      <xdr:col>1</xdr:col>
      <xdr:colOff>723900</xdr:colOff>
      <xdr:row>187</xdr:row>
      <xdr:rowOff>0</xdr:rowOff>
    </xdr:to>
    <xdr:sp macro="" textlink="">
      <xdr:nvSpPr>
        <xdr:cNvPr id="107" name="Line 17"/>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187</xdr:row>
      <xdr:rowOff>0</xdr:rowOff>
    </xdr:from>
    <xdr:to>
      <xdr:col>2</xdr:col>
      <xdr:colOff>28575</xdr:colOff>
      <xdr:row>187</xdr:row>
      <xdr:rowOff>0</xdr:rowOff>
    </xdr:to>
    <xdr:grpSp>
      <xdr:nvGrpSpPr>
        <xdr:cNvPr id="108" name="Group 18"/>
        <xdr:cNvGrpSpPr>
          <a:grpSpLocks/>
        </xdr:cNvGrpSpPr>
      </xdr:nvGrpSpPr>
      <xdr:grpSpPr bwMode="auto">
        <a:xfrm>
          <a:off x="1943100" y="30794325"/>
          <a:ext cx="371475" cy="0"/>
          <a:chOff x="4301" y="49818"/>
          <a:chExt cx="1005" cy="432"/>
        </a:xfrm>
      </xdr:grpSpPr>
      <xdr:sp macro="" textlink="">
        <xdr:nvSpPr>
          <xdr:cNvPr id="10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187</xdr:row>
      <xdr:rowOff>0</xdr:rowOff>
    </xdr:from>
    <xdr:to>
      <xdr:col>1</xdr:col>
      <xdr:colOff>571500</xdr:colOff>
      <xdr:row>187</xdr:row>
      <xdr:rowOff>0</xdr:rowOff>
    </xdr:to>
    <xdr:grpSp>
      <xdr:nvGrpSpPr>
        <xdr:cNvPr id="111" name="Group 21"/>
        <xdr:cNvGrpSpPr>
          <a:grpSpLocks/>
        </xdr:cNvGrpSpPr>
      </xdr:nvGrpSpPr>
      <xdr:grpSpPr bwMode="auto">
        <a:xfrm>
          <a:off x="1457325" y="30794325"/>
          <a:ext cx="457200" cy="0"/>
          <a:chOff x="3511" y="50389"/>
          <a:chExt cx="758" cy="260"/>
        </a:xfrm>
      </xdr:grpSpPr>
      <xdr:sp macro="" textlink="">
        <xdr:nvSpPr>
          <xdr:cNvPr id="11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187</xdr:row>
      <xdr:rowOff>0</xdr:rowOff>
    </xdr:from>
    <xdr:to>
      <xdr:col>0</xdr:col>
      <xdr:colOff>638175</xdr:colOff>
      <xdr:row>187</xdr:row>
      <xdr:rowOff>0</xdr:rowOff>
    </xdr:to>
    <xdr:sp macro="" textlink="">
      <xdr:nvSpPr>
        <xdr:cNvPr id="114" name="Line 24"/>
        <xdr:cNvSpPr>
          <a:spLocks noChangeShapeType="1"/>
        </xdr:cNvSpPr>
      </xdr:nvSpPr>
      <xdr:spPr bwMode="auto">
        <a:xfrm>
          <a:off x="63817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187</xdr:row>
      <xdr:rowOff>0</xdr:rowOff>
    </xdr:from>
    <xdr:to>
      <xdr:col>0</xdr:col>
      <xdr:colOff>619125</xdr:colOff>
      <xdr:row>187</xdr:row>
      <xdr:rowOff>0</xdr:rowOff>
    </xdr:to>
    <xdr:sp macro="" textlink="">
      <xdr:nvSpPr>
        <xdr:cNvPr id="115" name="Line 25"/>
        <xdr:cNvSpPr>
          <a:spLocks noChangeShapeType="1"/>
        </xdr:cNvSpPr>
      </xdr:nvSpPr>
      <xdr:spPr bwMode="auto">
        <a:xfrm>
          <a:off x="6191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187</xdr:row>
      <xdr:rowOff>0</xdr:rowOff>
    </xdr:from>
    <xdr:to>
      <xdr:col>1</xdr:col>
      <xdr:colOff>0</xdr:colOff>
      <xdr:row>187</xdr:row>
      <xdr:rowOff>0</xdr:rowOff>
    </xdr:to>
    <xdr:grpSp>
      <xdr:nvGrpSpPr>
        <xdr:cNvPr id="116" name="Group 26"/>
        <xdr:cNvGrpSpPr>
          <a:grpSpLocks/>
        </xdr:cNvGrpSpPr>
      </xdr:nvGrpSpPr>
      <xdr:grpSpPr bwMode="auto">
        <a:xfrm>
          <a:off x="485775" y="30794325"/>
          <a:ext cx="857250" cy="0"/>
          <a:chOff x="802" y="49805"/>
          <a:chExt cx="532" cy="632"/>
        </a:xfrm>
      </xdr:grpSpPr>
      <xdr:sp macro="" textlink="">
        <xdr:nvSpPr>
          <xdr:cNvPr id="11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187</xdr:row>
      <xdr:rowOff>0</xdr:rowOff>
    </xdr:from>
    <xdr:to>
      <xdr:col>7</xdr:col>
      <xdr:colOff>2028825</xdr:colOff>
      <xdr:row>187</xdr:row>
      <xdr:rowOff>0</xdr:rowOff>
    </xdr:to>
    <xdr:sp macro="" textlink="">
      <xdr:nvSpPr>
        <xdr:cNvPr id="119" name="Rectangle 33"/>
        <xdr:cNvSpPr>
          <a:spLocks noChangeArrowheads="1"/>
        </xdr:cNvSpPr>
      </xdr:nvSpPr>
      <xdr:spPr bwMode="auto">
        <a:xfrm>
          <a:off x="5410200" y="397383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12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676274"/>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12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409576"/>
          <a:ext cx="1083717" cy="733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3</xdr:row>
      <xdr:rowOff>76200</xdr:rowOff>
    </xdr:from>
    <xdr:to>
      <xdr:col>6</xdr:col>
      <xdr:colOff>1304925</xdr:colOff>
      <xdr:row>6</xdr:row>
      <xdr:rowOff>142875</xdr:rowOff>
    </xdr:to>
    <xdr:pic>
      <xdr:nvPicPr>
        <xdr:cNvPr id="5"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34050" y="695325"/>
          <a:ext cx="1209675" cy="43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123825</xdr:colOff>
      <xdr:row>1</xdr:row>
      <xdr:rowOff>304800</xdr:rowOff>
    </xdr:from>
    <xdr:to>
      <xdr:col>0</xdr:col>
      <xdr:colOff>1215671</xdr:colOff>
      <xdr:row>6</xdr:row>
      <xdr:rowOff>200025</xdr:rowOff>
    </xdr:to>
    <xdr:pic>
      <xdr:nvPicPr>
        <xdr:cNvPr id="6"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3825" y="428625"/>
          <a:ext cx="1091846"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35210</xdr:colOff>
      <xdr:row>3</xdr:row>
      <xdr:rowOff>104775</xdr:rowOff>
    </xdr:from>
    <xdr:to>
      <xdr:col>7</xdr:col>
      <xdr:colOff>0</xdr:colOff>
      <xdr:row>6</xdr:row>
      <xdr:rowOff>19050</xdr:rowOff>
    </xdr:to>
    <xdr:pic>
      <xdr:nvPicPr>
        <xdr:cNvPr id="5"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2560" y="762000"/>
          <a:ext cx="1088740" cy="40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219074</xdr:colOff>
      <xdr:row>1</xdr:row>
      <xdr:rowOff>209551</xdr:rowOff>
    </xdr:from>
    <xdr:to>
      <xdr:col>0</xdr:col>
      <xdr:colOff>1162050</xdr:colOff>
      <xdr:row>5</xdr:row>
      <xdr:rowOff>152401</xdr:rowOff>
    </xdr:to>
    <xdr:pic>
      <xdr:nvPicPr>
        <xdr:cNvPr id="6"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4" y="371476"/>
          <a:ext cx="942976"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25685</xdr:colOff>
      <xdr:row>4</xdr:row>
      <xdr:rowOff>47625</xdr:rowOff>
    </xdr:from>
    <xdr:to>
      <xdr:col>6</xdr:col>
      <xdr:colOff>1066800</xdr:colOff>
      <xdr:row>6</xdr:row>
      <xdr:rowOff>152400</xdr:rowOff>
    </xdr:to>
    <xdr:pic>
      <xdr:nvPicPr>
        <xdr:cNvPr id="5"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64460" y="695325"/>
          <a:ext cx="104111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49758</xdr:colOff>
      <xdr:row>2</xdr:row>
      <xdr:rowOff>133351</xdr:rowOff>
    </xdr:from>
    <xdr:to>
      <xdr:col>0</xdr:col>
      <xdr:colOff>1133475</xdr:colOff>
      <xdr:row>7</xdr:row>
      <xdr:rowOff>57150</xdr:rowOff>
    </xdr:to>
    <xdr:pic>
      <xdr:nvPicPr>
        <xdr:cNvPr id="6"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758" y="504826"/>
          <a:ext cx="1083717" cy="733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118"/>
  <sheetViews>
    <sheetView tabSelected="1" view="pageBreakPreview" zoomScaleSheetLayoutView="100" workbookViewId="0">
      <selection activeCell="A114" sqref="A114:G114"/>
    </sheetView>
  </sheetViews>
  <sheetFormatPr baseColWidth="10" defaultRowHeight="12.75" x14ac:dyDescent="0.2"/>
  <cols>
    <col min="1" max="1" width="18.5703125" style="75" customWidth="1"/>
    <col min="2" max="3" width="12.140625" style="75" customWidth="1"/>
    <col min="4" max="4" width="11.7109375" style="75" customWidth="1"/>
    <col min="5" max="5" width="9.28515625" style="75" customWidth="1"/>
    <col min="6" max="6" width="14.140625" style="75" customWidth="1"/>
    <col min="7" max="7" width="23.85546875" style="75" customWidth="1"/>
    <col min="8" max="9" width="11.42578125" style="75"/>
    <col min="10" max="13" width="17.7109375" style="75" customWidth="1"/>
    <col min="14" max="16384" width="11.42578125" style="75"/>
  </cols>
  <sheetData>
    <row r="1" spans="1:8" x14ac:dyDescent="0.2">
      <c r="A1" s="172"/>
      <c r="B1" s="172"/>
      <c r="C1" s="172"/>
      <c r="D1" s="172"/>
      <c r="E1" s="172"/>
      <c r="F1" s="172"/>
      <c r="G1" s="172"/>
    </row>
    <row r="2" spans="1:8" s="170" customFormat="1" x14ac:dyDescent="0.2">
      <c r="A2" s="285"/>
      <c r="B2" s="283" t="s">
        <v>320</v>
      </c>
      <c r="C2" s="283"/>
      <c r="D2" s="283"/>
      <c r="E2" s="283"/>
      <c r="F2" s="283"/>
      <c r="G2" s="285"/>
    </row>
    <row r="3" spans="1:8" s="170" customFormat="1" x14ac:dyDescent="0.2">
      <c r="A3" s="285"/>
      <c r="B3" s="284" t="s">
        <v>322</v>
      </c>
      <c r="C3" s="284"/>
      <c r="D3" s="284"/>
      <c r="E3" s="284"/>
      <c r="F3" s="284"/>
      <c r="G3" s="285"/>
    </row>
    <row r="4" spans="1:8" s="170" customFormat="1" x14ac:dyDescent="0.2">
      <c r="A4" s="285"/>
      <c r="B4" s="284"/>
      <c r="C4" s="284"/>
      <c r="D4" s="284"/>
      <c r="E4" s="284"/>
      <c r="F4" s="284"/>
      <c r="G4" s="285"/>
    </row>
    <row r="5" spans="1:8" s="170" customFormat="1" x14ac:dyDescent="0.2">
      <c r="A5" s="285"/>
      <c r="B5" s="284"/>
      <c r="C5" s="284"/>
      <c r="D5" s="284"/>
      <c r="E5" s="284"/>
      <c r="F5" s="284"/>
      <c r="G5" s="285"/>
    </row>
    <row r="6" spans="1:8" s="170" customFormat="1" ht="14.25" customHeight="1" x14ac:dyDescent="0.2">
      <c r="A6" s="285"/>
      <c r="B6" s="284"/>
      <c r="C6" s="284"/>
      <c r="D6" s="284"/>
      <c r="E6" s="284"/>
      <c r="F6" s="284"/>
      <c r="G6" s="285"/>
    </row>
    <row r="7" spans="1:8" ht="14.25" customHeight="1" x14ac:dyDescent="0.2">
      <c r="A7" s="285"/>
      <c r="B7" s="284" t="s">
        <v>326</v>
      </c>
      <c r="C7" s="284"/>
      <c r="D7" s="283" t="s">
        <v>323</v>
      </c>
      <c r="E7" s="283"/>
      <c r="F7" s="283" t="s">
        <v>321</v>
      </c>
      <c r="G7" s="285"/>
    </row>
    <row r="8" spans="1:8" ht="37.5" customHeight="1" x14ac:dyDescent="0.2">
      <c r="A8" s="285"/>
      <c r="B8" s="284"/>
      <c r="C8" s="284"/>
      <c r="D8" s="283"/>
      <c r="E8" s="283"/>
      <c r="F8" s="283"/>
      <c r="G8" s="285"/>
    </row>
    <row r="9" spans="1:8" s="77" customFormat="1" ht="35.1" customHeight="1" x14ac:dyDescent="0.2">
      <c r="A9" s="275" t="s">
        <v>355</v>
      </c>
      <c r="B9" s="275"/>
      <c r="C9" s="275"/>
      <c r="D9" s="275"/>
      <c r="E9" s="275"/>
      <c r="F9" s="275"/>
      <c r="G9" s="275"/>
      <c r="H9" s="76"/>
    </row>
    <row r="10" spans="1:8" s="77" customFormat="1" ht="9.9499999999999993" customHeight="1" x14ac:dyDescent="0.2">
      <c r="A10" s="78"/>
      <c r="B10" s="78"/>
      <c r="C10" s="78"/>
      <c r="D10" s="78"/>
      <c r="E10" s="78"/>
      <c r="F10" s="78"/>
      <c r="G10" s="78"/>
      <c r="H10" s="76"/>
    </row>
    <row r="11" spans="1:8" s="77" customFormat="1" ht="15" customHeight="1" x14ac:dyDescent="0.2">
      <c r="A11" s="279" t="s">
        <v>209</v>
      </c>
      <c r="B11" s="279"/>
      <c r="C11" s="279"/>
      <c r="D11" s="280"/>
      <c r="E11" s="280"/>
      <c r="F11" s="280"/>
      <c r="G11" s="280"/>
    </row>
    <row r="12" spans="1:8" s="77" customFormat="1" ht="9.9499999999999993" customHeight="1" x14ac:dyDescent="0.2">
      <c r="A12" s="80"/>
      <c r="B12" s="80"/>
      <c r="C12" s="80"/>
      <c r="D12" s="79"/>
      <c r="E12" s="79"/>
      <c r="F12" s="79"/>
      <c r="G12" s="79"/>
    </row>
    <row r="13" spans="1:8" s="77" customFormat="1" ht="54.95" customHeight="1" x14ac:dyDescent="0.2">
      <c r="A13" s="270" t="s">
        <v>317</v>
      </c>
      <c r="B13" s="270"/>
      <c r="C13" s="270"/>
      <c r="D13" s="270"/>
      <c r="E13" s="270"/>
      <c r="F13" s="270"/>
      <c r="G13" s="270"/>
    </row>
    <row r="14" spans="1:8" s="77" customFormat="1" ht="92.25" customHeight="1" x14ac:dyDescent="0.2">
      <c r="A14" s="270" t="s">
        <v>324</v>
      </c>
      <c r="B14" s="277"/>
      <c r="C14" s="277"/>
      <c r="D14" s="277"/>
      <c r="E14" s="277"/>
      <c r="F14" s="277"/>
      <c r="G14" s="277"/>
    </row>
    <row r="15" spans="1:8" s="77" customFormat="1" ht="9.9499999999999993" customHeight="1" x14ac:dyDescent="0.2">
      <c r="A15" s="99"/>
      <c r="B15" s="99"/>
      <c r="C15" s="99"/>
      <c r="D15" s="99"/>
      <c r="E15" s="99"/>
      <c r="F15" s="99"/>
      <c r="G15" s="99"/>
    </row>
    <row r="16" spans="1:8" s="77" customFormat="1" ht="15" customHeight="1" x14ac:dyDescent="0.2">
      <c r="A16" s="279" t="s">
        <v>212</v>
      </c>
      <c r="B16" s="279"/>
      <c r="C16" s="279"/>
      <c r="D16" s="280"/>
      <c r="E16" s="280"/>
      <c r="F16" s="280"/>
      <c r="G16" s="280"/>
    </row>
    <row r="17" spans="1:10" s="77" customFormat="1" ht="9" customHeight="1" x14ac:dyDescent="0.2">
      <c r="B17" s="81"/>
      <c r="C17" s="81"/>
      <c r="D17" s="81"/>
      <c r="E17" s="81"/>
      <c r="F17" s="81"/>
      <c r="G17" s="81"/>
    </row>
    <row r="18" spans="1:10" s="77" customFormat="1" ht="15" customHeight="1" x14ac:dyDescent="0.2">
      <c r="A18" s="279" t="s">
        <v>210</v>
      </c>
      <c r="B18" s="279"/>
      <c r="C18" s="279"/>
      <c r="D18" s="280"/>
      <c r="E18" s="280"/>
      <c r="F18" s="280"/>
      <c r="G18" s="280"/>
    </row>
    <row r="19" spans="1:10" s="77" customFormat="1" ht="9" customHeight="1" x14ac:dyDescent="0.2">
      <c r="B19" s="81"/>
      <c r="C19" s="81"/>
      <c r="D19" s="81"/>
      <c r="E19" s="81"/>
      <c r="F19" s="81"/>
      <c r="G19" s="81"/>
    </row>
    <row r="20" spans="1:10" ht="30" customHeight="1" x14ac:dyDescent="0.2">
      <c r="A20" s="270" t="s">
        <v>211</v>
      </c>
      <c r="B20" s="270"/>
      <c r="C20" s="270"/>
      <c r="D20" s="270"/>
      <c r="E20" s="270"/>
      <c r="F20" s="270"/>
      <c r="G20" s="270"/>
    </row>
    <row r="21" spans="1:10" ht="9.9499999999999993" customHeight="1" x14ac:dyDescent="0.2">
      <c r="A21" s="82"/>
      <c r="B21" s="82"/>
      <c r="C21" s="82"/>
      <c r="D21" s="82"/>
      <c r="E21" s="82"/>
      <c r="F21" s="82"/>
      <c r="G21" s="82"/>
    </row>
    <row r="22" spans="1:10" ht="15" customHeight="1" x14ac:dyDescent="0.2">
      <c r="A22" s="276" t="s">
        <v>217</v>
      </c>
      <c r="B22" s="276"/>
      <c r="C22" s="276"/>
      <c r="D22" s="276"/>
      <c r="E22" s="276"/>
      <c r="F22" s="276"/>
      <c r="G22" s="276"/>
    </row>
    <row r="23" spans="1:10" ht="9.9499999999999993" customHeight="1" x14ac:dyDescent="0.2">
      <c r="A23" s="82"/>
      <c r="B23" s="82"/>
      <c r="C23" s="82"/>
      <c r="D23" s="82"/>
      <c r="E23" s="82"/>
      <c r="F23" s="82"/>
      <c r="G23" s="82"/>
    </row>
    <row r="24" spans="1:10" ht="15" customHeight="1" x14ac:dyDescent="0.2">
      <c r="A24" s="75" t="s">
        <v>88</v>
      </c>
      <c r="E24" s="83"/>
      <c r="F24" s="84"/>
      <c r="G24" s="84"/>
    </row>
    <row r="25" spans="1:10" ht="15" customHeight="1" x14ac:dyDescent="0.2">
      <c r="A25" s="75" t="s">
        <v>196</v>
      </c>
      <c r="E25" s="85"/>
      <c r="F25" s="86"/>
      <c r="G25" s="84"/>
    </row>
    <row r="26" spans="1:10" ht="15" customHeight="1" x14ac:dyDescent="0.2">
      <c r="A26" s="75" t="s">
        <v>138</v>
      </c>
      <c r="E26" s="87">
        <v>0.435</v>
      </c>
      <c r="G26" s="84"/>
      <c r="H26" s="86"/>
    </row>
    <row r="27" spans="1:10" ht="15" customHeight="1" x14ac:dyDescent="0.2">
      <c r="A27" s="75" t="s">
        <v>197</v>
      </c>
      <c r="E27" s="88">
        <f>+((E30+1)*E28)/(E29)</f>
        <v>0.48837209302325579</v>
      </c>
      <c r="J27" s="89"/>
    </row>
    <row r="28" spans="1:10" ht="15" customHeight="1" x14ac:dyDescent="0.2">
      <c r="A28" s="75" t="s">
        <v>198</v>
      </c>
      <c r="E28" s="118">
        <v>0.01</v>
      </c>
      <c r="F28" s="75" t="s">
        <v>54</v>
      </c>
      <c r="H28" s="84"/>
    </row>
    <row r="29" spans="1:10" ht="15" customHeight="1" x14ac:dyDescent="0.2">
      <c r="A29" s="75" t="s">
        <v>141</v>
      </c>
      <c r="E29" s="117">
        <v>0.43</v>
      </c>
      <c r="F29" s="75" t="s">
        <v>54</v>
      </c>
      <c r="H29" s="86"/>
    </row>
    <row r="30" spans="1:10" ht="15" customHeight="1" x14ac:dyDescent="0.2">
      <c r="A30" s="75" t="s">
        <v>199</v>
      </c>
      <c r="E30" s="116">
        <v>20</v>
      </c>
      <c r="F30" s="75" t="s">
        <v>87</v>
      </c>
      <c r="H30" s="88"/>
    </row>
    <row r="31" spans="1:10" ht="15" customHeight="1" x14ac:dyDescent="0.2">
      <c r="A31" s="75" t="s">
        <v>214</v>
      </c>
      <c r="C31" s="84"/>
      <c r="D31" s="84"/>
      <c r="E31" s="118">
        <f>0.0254*(3/8)</f>
        <v>9.5249999999999987E-3</v>
      </c>
      <c r="F31" s="75" t="s">
        <v>54</v>
      </c>
    </row>
    <row r="32" spans="1:10" ht="15" customHeight="1" x14ac:dyDescent="0.2">
      <c r="A32" s="75" t="s">
        <v>160</v>
      </c>
      <c r="C32" s="84"/>
      <c r="D32" s="84"/>
      <c r="E32" s="117">
        <v>0.25</v>
      </c>
      <c r="F32" s="75" t="s">
        <v>54</v>
      </c>
    </row>
    <row r="33" spans="1:9" ht="15" customHeight="1" x14ac:dyDescent="0.2">
      <c r="A33" s="75" t="s">
        <v>143</v>
      </c>
      <c r="C33" s="84"/>
      <c r="E33" s="75">
        <v>9.81</v>
      </c>
      <c r="F33" s="75" t="s">
        <v>200</v>
      </c>
    </row>
    <row r="34" spans="1:9" ht="15" customHeight="1" x14ac:dyDescent="0.2">
      <c r="A34" s="75" t="s">
        <v>144</v>
      </c>
      <c r="C34" s="84"/>
      <c r="E34" s="75">
        <v>1.56</v>
      </c>
    </row>
    <row r="35" spans="1:9" ht="9.9499999999999993" customHeight="1" x14ac:dyDescent="0.2">
      <c r="C35" s="84"/>
    </row>
    <row r="36" spans="1:9" ht="15" customHeight="1" x14ac:dyDescent="0.2">
      <c r="C36" s="112" t="s">
        <v>201</v>
      </c>
      <c r="D36" s="114">
        <f>ROUND(((((E26*E27*(E32^(2/3))*((2*E33)^(0.5))*E29)/(E34^(1/3)))^(3/2))*1000),1)</f>
        <v>51.5</v>
      </c>
      <c r="E36" s="113" t="s">
        <v>129</v>
      </c>
      <c r="F36" s="93"/>
      <c r="G36" s="93"/>
      <c r="H36" s="93"/>
      <c r="I36" s="93"/>
    </row>
    <row r="37" spans="1:9" ht="9.9499999999999993" customHeight="1" x14ac:dyDescent="0.2">
      <c r="C37" s="84"/>
    </row>
    <row r="38" spans="1:9" ht="30" customHeight="1" x14ac:dyDescent="0.2">
      <c r="A38" s="270" t="str">
        <f>+CONCATENATE("De acuerdo con lo anterior, la rejilla según las consideraciones hidráulicas teóricas usadas para el presente proyecto, tiene una capacidad máxima de captación de ",D36,"L/s.")</f>
        <v>De acuerdo con lo anterior, la rejilla según las consideraciones hidráulicas teóricas usadas para el presente proyecto, tiene una capacidad máxima de captación de 51,5L/s.</v>
      </c>
      <c r="B38" s="270"/>
      <c r="C38" s="270"/>
      <c r="D38" s="270"/>
      <c r="E38" s="270"/>
      <c r="F38" s="270"/>
      <c r="G38" s="270"/>
    </row>
    <row r="39" spans="1:9" ht="9.9499999999999993" customHeight="1" x14ac:dyDescent="0.2">
      <c r="C39" s="84"/>
    </row>
    <row r="40" spans="1:9" s="77" customFormat="1" ht="15" customHeight="1" x14ac:dyDescent="0.2">
      <c r="A40" s="279" t="s">
        <v>325</v>
      </c>
      <c r="B40" s="279"/>
      <c r="C40" s="279"/>
      <c r="D40" s="280"/>
      <c r="E40" s="280"/>
      <c r="F40" s="280"/>
      <c r="G40" s="280"/>
    </row>
    <row r="41" spans="1:9" s="77" customFormat="1" ht="9" customHeight="1" x14ac:dyDescent="0.2">
      <c r="B41" s="81"/>
      <c r="C41" s="81"/>
      <c r="D41" s="81"/>
      <c r="E41" s="81"/>
      <c r="F41" s="81"/>
      <c r="G41" s="81"/>
    </row>
    <row r="42" spans="1:9" s="77" customFormat="1" ht="45" customHeight="1" x14ac:dyDescent="0.2">
      <c r="A42" s="270" t="s">
        <v>116</v>
      </c>
      <c r="B42" s="270"/>
      <c r="C42" s="270"/>
      <c r="D42" s="270"/>
      <c r="E42" s="270"/>
      <c r="F42" s="270"/>
      <c r="G42" s="270"/>
    </row>
    <row r="43" spans="1:9" s="77" customFormat="1" ht="9.9499999999999993" customHeight="1" x14ac:dyDescent="0.2">
      <c r="A43" s="86"/>
      <c r="B43" s="81"/>
      <c r="C43" s="81"/>
      <c r="D43" s="81"/>
      <c r="E43" s="81"/>
      <c r="F43" s="81"/>
      <c r="G43" s="81"/>
    </row>
    <row r="44" spans="1:9" s="77" customFormat="1" ht="15" customHeight="1" x14ac:dyDescent="0.2">
      <c r="A44" s="276" t="s">
        <v>215</v>
      </c>
      <c r="B44" s="276"/>
      <c r="C44" s="276"/>
      <c r="D44" s="276"/>
      <c r="E44" s="276"/>
      <c r="F44" s="276"/>
      <c r="G44" s="276"/>
    </row>
    <row r="45" spans="1:9" s="77" customFormat="1" ht="9.9499999999999993" customHeight="1" x14ac:dyDescent="0.2">
      <c r="A45" s="270"/>
      <c r="B45" s="270"/>
      <c r="C45" s="270"/>
      <c r="D45" s="270"/>
      <c r="E45" s="270"/>
      <c r="F45" s="270"/>
      <c r="G45" s="270"/>
    </row>
    <row r="46" spans="1:9" s="77" customFormat="1" ht="15" customHeight="1" x14ac:dyDescent="0.2">
      <c r="A46" s="75" t="s">
        <v>88</v>
      </c>
      <c r="B46" s="81"/>
      <c r="C46" s="81"/>
      <c r="D46" s="81"/>
      <c r="E46" s="81"/>
      <c r="F46" s="81"/>
      <c r="G46" s="81"/>
    </row>
    <row r="47" spans="1:9" s="77" customFormat="1" ht="15" customHeight="1" x14ac:dyDescent="0.2">
      <c r="A47" s="75" t="s">
        <v>202</v>
      </c>
      <c r="B47" s="81"/>
      <c r="C47" s="81"/>
      <c r="D47" s="95">
        <f>+D36/1000</f>
        <v>5.1499999999999997E-2</v>
      </c>
      <c r="E47" s="86" t="s">
        <v>218</v>
      </c>
      <c r="F47" s="86"/>
      <c r="G47" s="86"/>
    </row>
    <row r="48" spans="1:9" s="77" customFormat="1" ht="15" customHeight="1" x14ac:dyDescent="0.2">
      <c r="A48" s="75" t="s">
        <v>57</v>
      </c>
      <c r="B48" s="81"/>
      <c r="C48" s="81"/>
      <c r="D48" s="96">
        <v>0.45</v>
      </c>
      <c r="E48" s="86" t="s">
        <v>54</v>
      </c>
      <c r="F48" s="86"/>
      <c r="G48" s="86"/>
    </row>
    <row r="49" spans="1:7" s="77" customFormat="1" ht="15" customHeight="1" x14ac:dyDescent="0.2">
      <c r="A49" s="75" t="s">
        <v>204</v>
      </c>
      <c r="B49" s="81"/>
      <c r="C49" s="81"/>
      <c r="D49" s="97">
        <f>+(D47/(1.84*D48))^(2/3)</f>
        <v>0.15698250737885011</v>
      </c>
      <c r="E49" s="94" t="s">
        <v>54</v>
      </c>
      <c r="F49" s="86"/>
      <c r="G49" s="86"/>
    </row>
    <row r="50" spans="1:7" s="77" customFormat="1" ht="9.9499999999999993" customHeight="1" x14ac:dyDescent="0.2">
      <c r="A50" s="75"/>
      <c r="B50" s="81"/>
      <c r="C50" s="81"/>
      <c r="D50" s="97"/>
      <c r="E50" s="94"/>
      <c r="F50" s="86"/>
      <c r="G50" s="86"/>
    </row>
    <row r="51" spans="1:7" s="77" customFormat="1" ht="45" customHeight="1" x14ac:dyDescent="0.2">
      <c r="A51" s="277" t="str">
        <f>+CONCATENATE("Lo anterior indica que para que por el vertedero central circule el caudal máximo de captación teórico tanto de la rejilla como del vertedero existente, es necesario contar con una lamina de agua sobre dicho vertedero igual a ",ROUND((D49),2),"m.")</f>
        <v>Lo anterior indica que para que por el vertedero central circule el caudal máximo de captación teórico tanto de la rejilla como del vertedero existente, es necesario contar con una lamina de agua sobre dicho vertedero igual a 0,16m.</v>
      </c>
      <c r="B51" s="277"/>
      <c r="C51" s="277"/>
      <c r="D51" s="277"/>
      <c r="E51" s="277"/>
      <c r="F51" s="277"/>
      <c r="G51" s="277"/>
    </row>
    <row r="52" spans="1:7" s="77" customFormat="1" ht="9.9499999999999993" customHeight="1" x14ac:dyDescent="0.2">
      <c r="A52" s="99"/>
      <c r="B52" s="99"/>
      <c r="C52" s="99"/>
      <c r="D52" s="99"/>
      <c r="E52" s="99"/>
      <c r="F52" s="99"/>
      <c r="G52" s="99"/>
    </row>
    <row r="53" spans="1:7" s="77" customFormat="1" ht="54.95" customHeight="1" x14ac:dyDescent="0.2">
      <c r="A53" s="277" t="s">
        <v>318</v>
      </c>
      <c r="B53" s="277"/>
      <c r="C53" s="277"/>
      <c r="D53" s="277"/>
      <c r="E53" s="277"/>
      <c r="F53" s="277"/>
      <c r="G53" s="277"/>
    </row>
    <row r="54" spans="1:7" s="77" customFormat="1" ht="9.9499999999999993" customHeight="1" x14ac:dyDescent="0.2">
      <c r="A54" s="99"/>
      <c r="B54" s="99"/>
      <c r="C54" s="99"/>
      <c r="D54" s="99"/>
      <c r="E54" s="99"/>
      <c r="F54" s="99"/>
      <c r="G54" s="99"/>
    </row>
    <row r="55" spans="1:7" s="77" customFormat="1" ht="15" customHeight="1" x14ac:dyDescent="0.2">
      <c r="A55" s="276" t="s">
        <v>216</v>
      </c>
      <c r="B55" s="276"/>
      <c r="C55" s="276"/>
      <c r="D55" s="276"/>
      <c r="E55" s="276"/>
      <c r="F55" s="276"/>
      <c r="G55" s="276"/>
    </row>
    <row r="56" spans="1:7" s="77" customFormat="1" ht="9.9499999999999993" customHeight="1" x14ac:dyDescent="0.2">
      <c r="A56" s="81"/>
      <c r="B56" s="81"/>
      <c r="C56" s="81"/>
      <c r="D56" s="81"/>
      <c r="E56" s="81"/>
      <c r="F56" s="81"/>
      <c r="G56" s="81"/>
    </row>
    <row r="57" spans="1:7" s="77" customFormat="1" ht="15" customHeight="1" x14ac:dyDescent="0.2">
      <c r="A57" s="75" t="s">
        <v>88</v>
      </c>
      <c r="B57" s="81"/>
      <c r="C57" s="81"/>
      <c r="D57" s="81"/>
      <c r="E57" s="81"/>
      <c r="F57" s="81"/>
      <c r="G57" s="81"/>
    </row>
    <row r="58" spans="1:7" s="77" customFormat="1" ht="15" customHeight="1" x14ac:dyDescent="0.2">
      <c r="A58" s="278" t="s">
        <v>165</v>
      </c>
      <c r="B58" s="278"/>
      <c r="C58" s="278"/>
      <c r="D58" s="169">
        <v>0.04</v>
      </c>
      <c r="E58" s="86" t="s">
        <v>54</v>
      </c>
      <c r="F58" s="86"/>
      <c r="G58" s="86"/>
    </row>
    <row r="59" spans="1:7" s="77" customFormat="1" ht="15" customHeight="1" x14ac:dyDescent="0.2">
      <c r="A59" s="278" t="s">
        <v>164</v>
      </c>
      <c r="B59" s="278"/>
      <c r="C59" s="278"/>
      <c r="D59" s="96">
        <f>+D48</f>
        <v>0.45</v>
      </c>
      <c r="E59" s="86" t="s">
        <v>54</v>
      </c>
      <c r="F59" s="86"/>
      <c r="G59" s="86"/>
    </row>
    <row r="60" spans="1:7" ht="15" customHeight="1" x14ac:dyDescent="0.2">
      <c r="A60" s="278" t="s">
        <v>229</v>
      </c>
      <c r="B60" s="278"/>
      <c r="C60" s="278"/>
      <c r="D60" s="95">
        <f>(1.834*D59*(D58^(3/2)))</f>
        <v>6.6024000000000031E-3</v>
      </c>
      <c r="E60" s="86" t="s">
        <v>203</v>
      </c>
      <c r="F60" s="86"/>
      <c r="G60" s="86"/>
    </row>
    <row r="61" spans="1:7" s="77" customFormat="1" ht="15" customHeight="1" x14ac:dyDescent="0.2">
      <c r="A61" s="278" t="s">
        <v>205</v>
      </c>
      <c r="B61" s="278"/>
      <c r="C61" s="278"/>
      <c r="D61" s="119">
        <f>ROUND((D60*1000),1)</f>
        <v>6.6</v>
      </c>
      <c r="E61" s="94" t="s">
        <v>129</v>
      </c>
      <c r="F61" s="86"/>
      <c r="G61" s="86"/>
    </row>
    <row r="62" spans="1:7" s="77" customFormat="1" ht="9.9499999999999993" customHeight="1" x14ac:dyDescent="0.2">
      <c r="A62" s="75"/>
      <c r="B62" s="75"/>
      <c r="C62" s="75"/>
      <c r="D62" s="119"/>
      <c r="E62" s="94"/>
      <c r="F62" s="86"/>
      <c r="G62" s="86"/>
    </row>
    <row r="63" spans="1:7" ht="30" customHeight="1" x14ac:dyDescent="0.2">
      <c r="A63" s="270" t="str">
        <f>+CONCATENATE("De acuerdo con lo anterior, el vertedero central existente según las consideraciones hidráulicas teóricas usadas para el presente proyecto, tiene una capacidad máxima de captación de ",D61,"L/s.")</f>
        <v>De acuerdo con lo anterior, el vertedero central existente según las consideraciones hidráulicas teóricas usadas para el presente proyecto, tiene una capacidad máxima de captación de 6,6L/s.</v>
      </c>
      <c r="B63" s="270"/>
      <c r="C63" s="270"/>
      <c r="D63" s="270"/>
      <c r="E63" s="270"/>
      <c r="F63" s="270"/>
      <c r="G63" s="270"/>
    </row>
    <row r="64" spans="1:7" ht="9.9499999999999993" customHeight="1" x14ac:dyDescent="0.2">
      <c r="C64" s="84"/>
    </row>
    <row r="65" spans="1:13" s="77" customFormat="1" ht="15" customHeight="1" x14ac:dyDescent="0.2">
      <c r="A65" s="279" t="s">
        <v>316</v>
      </c>
      <c r="B65" s="279"/>
      <c r="C65" s="279"/>
      <c r="D65" s="280"/>
      <c r="E65" s="280"/>
      <c r="F65" s="280"/>
      <c r="G65" s="280"/>
    </row>
    <row r="66" spans="1:13" s="77" customFormat="1" ht="9" customHeight="1" x14ac:dyDescent="0.2">
      <c r="B66" s="81"/>
      <c r="C66" s="81"/>
      <c r="D66" s="81"/>
      <c r="E66" s="81"/>
      <c r="F66" s="81"/>
      <c r="G66" s="81"/>
    </row>
    <row r="67" spans="1:13" s="77" customFormat="1" ht="36.75" customHeight="1" x14ac:dyDescent="0.2">
      <c r="A67" s="270" t="s">
        <v>319</v>
      </c>
      <c r="B67" s="270"/>
      <c r="C67" s="270"/>
      <c r="D67" s="270"/>
      <c r="E67" s="270"/>
      <c r="F67" s="270"/>
      <c r="G67" s="270"/>
    </row>
    <row r="68" spans="1:13" ht="9.9499999999999993" customHeight="1" x14ac:dyDescent="0.2">
      <c r="C68" s="84"/>
    </row>
    <row r="69" spans="1:13" s="77" customFormat="1" ht="15" customHeight="1" x14ac:dyDescent="0.2">
      <c r="A69" s="279" t="s">
        <v>219</v>
      </c>
      <c r="B69" s="279"/>
      <c r="C69" s="279"/>
      <c r="D69" s="280"/>
      <c r="E69" s="280"/>
      <c r="F69" s="280"/>
      <c r="G69" s="280"/>
    </row>
    <row r="70" spans="1:13" s="77" customFormat="1" ht="9" customHeight="1" x14ac:dyDescent="0.2">
      <c r="B70" s="81"/>
      <c r="C70" s="81"/>
      <c r="D70" s="81"/>
      <c r="E70" s="81"/>
      <c r="F70" s="81"/>
      <c r="G70" s="81"/>
    </row>
    <row r="71" spans="1:13" s="90" customFormat="1" ht="54" customHeight="1" x14ac:dyDescent="0.2">
      <c r="A71" s="271" t="s">
        <v>329</v>
      </c>
      <c r="B71" s="271"/>
      <c r="C71" s="271"/>
      <c r="D71" s="271"/>
      <c r="E71" s="271"/>
      <c r="F71" s="271"/>
      <c r="G71" s="271"/>
    </row>
    <row r="72" spans="1:13" s="90" customFormat="1" ht="9.9499999999999993" customHeight="1" x14ac:dyDescent="0.2">
      <c r="G72" s="102"/>
    </row>
    <row r="73" spans="1:13" s="90" customFormat="1" ht="15" customHeight="1" x14ac:dyDescent="0.2">
      <c r="A73" s="272" t="s">
        <v>230</v>
      </c>
      <c r="B73" s="273"/>
      <c r="C73" s="273"/>
      <c r="D73" s="273"/>
      <c r="E73" s="273"/>
      <c r="F73" s="273"/>
      <c r="G73" s="273"/>
    </row>
    <row r="74" spans="1:13" s="90" customFormat="1" ht="9.9499999999999993" customHeight="1" x14ac:dyDescent="0.2">
      <c r="A74" s="100"/>
      <c r="B74" s="103"/>
      <c r="C74" s="103"/>
      <c r="D74" s="103"/>
      <c r="E74" s="103"/>
      <c r="F74" s="103"/>
      <c r="G74" s="104"/>
    </row>
    <row r="75" spans="1:13" s="90" customFormat="1" ht="15" customHeight="1" x14ac:dyDescent="0.2">
      <c r="A75" s="90" t="s">
        <v>88</v>
      </c>
      <c r="B75" s="92"/>
      <c r="C75" s="105"/>
    </row>
    <row r="76" spans="1:13" s="90" customFormat="1" ht="15" customHeight="1" x14ac:dyDescent="0.2">
      <c r="A76" s="90" t="s">
        <v>226</v>
      </c>
      <c r="C76" s="87"/>
    </row>
    <row r="77" spans="1:13" s="90" customFormat="1" ht="15" customHeight="1" x14ac:dyDescent="0.2">
      <c r="A77" s="90" t="s">
        <v>145</v>
      </c>
      <c r="C77" s="87"/>
      <c r="D77" s="87" t="s">
        <v>146</v>
      </c>
      <c r="E77" s="90">
        <v>1.0999999999999999E-2</v>
      </c>
      <c r="F77" s="90" t="s">
        <v>166</v>
      </c>
    </row>
    <row r="78" spans="1:13" s="90" customFormat="1" ht="15" customHeight="1" x14ac:dyDescent="0.2">
      <c r="A78" s="90" t="s">
        <v>170</v>
      </c>
      <c r="C78" s="87"/>
      <c r="D78" s="87" t="s">
        <v>99</v>
      </c>
      <c r="E78" s="115">
        <v>3</v>
      </c>
      <c r="F78" s="90" t="s">
        <v>115</v>
      </c>
    </row>
    <row r="79" spans="1:13" s="90" customFormat="1" ht="15" customHeight="1" x14ac:dyDescent="0.2">
      <c r="A79" s="90" t="s">
        <v>170</v>
      </c>
      <c r="C79" s="87"/>
      <c r="D79" s="87" t="s">
        <v>99</v>
      </c>
      <c r="E79" s="92">
        <f>E78*0.0254</f>
        <v>7.619999999999999E-2</v>
      </c>
      <c r="F79" s="90" t="s">
        <v>54</v>
      </c>
    </row>
    <row r="80" spans="1:13" s="90" customFormat="1" ht="15" customHeight="1" x14ac:dyDescent="0.2">
      <c r="A80" s="90" t="s">
        <v>169</v>
      </c>
      <c r="C80" s="87"/>
      <c r="D80" s="87" t="s">
        <v>63</v>
      </c>
      <c r="E80" s="91">
        <f>(PI()*E79^2)/4</f>
        <v>4.5603673118774788E-3</v>
      </c>
      <c r="F80" s="90" t="s">
        <v>206</v>
      </c>
      <c r="J80" s="120"/>
      <c r="K80" s="120"/>
      <c r="L80" s="120"/>
      <c r="M80" s="120"/>
    </row>
    <row r="81" spans="1:13" s="90" customFormat="1" ht="15" customHeight="1" x14ac:dyDescent="0.2">
      <c r="A81" s="106" t="s">
        <v>207</v>
      </c>
      <c r="C81" s="87"/>
      <c r="D81" s="87" t="s">
        <v>208</v>
      </c>
      <c r="E81" s="91">
        <f>E79/4</f>
        <v>1.9049999999999997E-2</v>
      </c>
      <c r="F81" s="90" t="s">
        <v>54</v>
      </c>
      <c r="J81" s="120"/>
      <c r="K81" s="120"/>
      <c r="L81" s="121"/>
      <c r="M81" s="122"/>
    </row>
    <row r="82" spans="1:13" s="90" customFormat="1" ht="15" customHeight="1" x14ac:dyDescent="0.2">
      <c r="A82" s="106" t="s">
        <v>221</v>
      </c>
      <c r="C82" s="87"/>
      <c r="D82" s="87" t="s">
        <v>220</v>
      </c>
      <c r="E82" s="117">
        <v>0.24</v>
      </c>
      <c r="F82" s="90" t="s">
        <v>54</v>
      </c>
      <c r="J82" s="120"/>
      <c r="K82" s="120"/>
      <c r="L82" s="121"/>
      <c r="M82" s="122"/>
    </row>
    <row r="83" spans="1:13" s="90" customFormat="1" ht="15" customHeight="1" x14ac:dyDescent="0.2">
      <c r="A83" s="106" t="s">
        <v>222</v>
      </c>
      <c r="C83" s="87"/>
      <c r="D83" s="87" t="s">
        <v>223</v>
      </c>
      <c r="E83" s="117">
        <v>0.89</v>
      </c>
      <c r="F83" s="90" t="s">
        <v>54</v>
      </c>
      <c r="J83" s="120"/>
      <c r="K83" s="120"/>
      <c r="L83" s="121"/>
      <c r="M83" s="122"/>
    </row>
    <row r="84" spans="1:13" s="90" customFormat="1" ht="15" customHeight="1" x14ac:dyDescent="0.2">
      <c r="A84" s="106" t="s">
        <v>224</v>
      </c>
      <c r="C84" s="87"/>
      <c r="D84" s="87" t="s">
        <v>225</v>
      </c>
      <c r="E84" s="117">
        <v>8</v>
      </c>
      <c r="F84" s="90" t="s">
        <v>54</v>
      </c>
      <c r="J84" s="120"/>
      <c r="K84" s="120"/>
      <c r="L84" s="121"/>
      <c r="M84" s="122"/>
    </row>
    <row r="85" spans="1:13" s="90" customFormat="1" ht="15" customHeight="1" x14ac:dyDescent="0.2">
      <c r="A85" s="90" t="s">
        <v>147</v>
      </c>
      <c r="B85" s="91"/>
      <c r="D85" s="87" t="s">
        <v>148</v>
      </c>
      <c r="E85" s="91">
        <f>+(E83-E82)/E84</f>
        <v>8.1250000000000003E-2</v>
      </c>
      <c r="F85" s="90" t="s">
        <v>149</v>
      </c>
    </row>
    <row r="86" spans="1:13" s="90" customFormat="1" ht="9.9499999999999993" customHeight="1" x14ac:dyDescent="0.2">
      <c r="B86" s="91"/>
      <c r="D86" s="87"/>
    </row>
    <row r="87" spans="1:13" s="90" customFormat="1" ht="15" customHeight="1" x14ac:dyDescent="0.2">
      <c r="C87" s="107" t="s">
        <v>227</v>
      </c>
      <c r="D87" s="114">
        <f>ROUND((1000*(1/E77)*E80*(E81^(2/3))*(E85^(0.5))),1)</f>
        <v>8.4</v>
      </c>
      <c r="E87" s="108" t="s">
        <v>129</v>
      </c>
    </row>
    <row r="88" spans="1:13" s="77" customFormat="1" ht="9.9499999999999993" customHeight="1" x14ac:dyDescent="0.2">
      <c r="A88" s="75"/>
      <c r="B88" s="75"/>
      <c r="C88" s="75"/>
      <c r="D88" s="119"/>
      <c r="E88" s="94"/>
      <c r="F88" s="86"/>
      <c r="G88" s="86"/>
    </row>
    <row r="89" spans="1:13" ht="30" customHeight="1" x14ac:dyDescent="0.2">
      <c r="A89" s="270" t="str">
        <f>+CONCATENATE("De acuerdo con lo anterior, la tubería de derivación existente, según las consideraciones hidráulicas teóricas usadas para el presente proyecto, tiene una capacidad máxima de transporte de ",D87," L/s.")</f>
        <v>De acuerdo con lo anterior, la tubería de derivación existente, según las consideraciones hidráulicas teóricas usadas para el presente proyecto, tiene una capacidad máxima de transporte de 8,4 L/s.</v>
      </c>
      <c r="B89" s="270"/>
      <c r="C89" s="270"/>
      <c r="D89" s="270"/>
      <c r="E89" s="270"/>
      <c r="F89" s="270"/>
      <c r="G89" s="270"/>
    </row>
    <row r="90" spans="1:13" ht="9.9499999999999993" customHeight="1" x14ac:dyDescent="0.2">
      <c r="C90" s="84"/>
    </row>
    <row r="91" spans="1:13" s="101" customFormat="1" ht="15" customHeight="1" x14ac:dyDescent="0.2">
      <c r="A91" s="281" t="s">
        <v>228</v>
      </c>
      <c r="B91" s="281"/>
      <c r="C91" s="281"/>
      <c r="D91" s="282"/>
      <c r="E91" s="282"/>
      <c r="F91" s="282"/>
      <c r="G91" s="282"/>
    </row>
    <row r="92" spans="1:13" s="77" customFormat="1" ht="9.9499999999999993" customHeight="1" x14ac:dyDescent="0.2">
      <c r="B92" s="81"/>
      <c r="C92" s="81"/>
      <c r="D92" s="81"/>
      <c r="E92" s="81"/>
      <c r="F92" s="81"/>
      <c r="G92" s="81"/>
    </row>
    <row r="93" spans="1:13" s="101" customFormat="1" ht="54.95" customHeight="1" x14ac:dyDescent="0.2">
      <c r="A93" s="271" t="s">
        <v>235</v>
      </c>
      <c r="B93" s="271"/>
      <c r="C93" s="271"/>
      <c r="D93" s="271"/>
      <c r="E93" s="271"/>
      <c r="F93" s="271"/>
      <c r="G93" s="271"/>
    </row>
    <row r="94" spans="1:13" s="90" customFormat="1" ht="9.9499999999999993" customHeight="1" x14ac:dyDescent="0.2"/>
    <row r="95" spans="1:13" s="90" customFormat="1" ht="15" customHeight="1" x14ac:dyDescent="0.2">
      <c r="A95" s="272" t="s">
        <v>234</v>
      </c>
      <c r="B95" s="272"/>
      <c r="C95" s="272"/>
      <c r="D95" s="272"/>
      <c r="E95" s="272"/>
      <c r="F95" s="272"/>
      <c r="G95" s="272"/>
    </row>
    <row r="96" spans="1:13" s="90" customFormat="1" ht="9.9499999999999993" customHeight="1" x14ac:dyDescent="0.2"/>
    <row r="97" spans="1:7" s="90" customFormat="1" ht="15" customHeight="1" x14ac:dyDescent="0.2">
      <c r="A97" s="90" t="s">
        <v>88</v>
      </c>
      <c r="B97" s="92"/>
      <c r="C97" s="105"/>
    </row>
    <row r="98" spans="1:7" s="90" customFormat="1" ht="15" customHeight="1" x14ac:dyDescent="0.2">
      <c r="A98" s="90" t="s">
        <v>231</v>
      </c>
      <c r="C98" s="87"/>
      <c r="D98" s="87"/>
      <c r="E98" s="111"/>
    </row>
    <row r="99" spans="1:7" s="90" customFormat="1" ht="15" customHeight="1" x14ac:dyDescent="0.2">
      <c r="A99" s="90" t="s">
        <v>100</v>
      </c>
      <c r="C99" s="87"/>
      <c r="D99" s="87" t="s">
        <v>101</v>
      </c>
      <c r="E99" s="116">
        <v>0.61</v>
      </c>
    </row>
    <row r="100" spans="1:7" s="90" customFormat="1" ht="15" customHeight="1" x14ac:dyDescent="0.2">
      <c r="A100" s="90" t="s">
        <v>98</v>
      </c>
      <c r="C100" s="87"/>
      <c r="D100" s="87" t="s">
        <v>99</v>
      </c>
      <c r="E100" s="115">
        <v>3</v>
      </c>
      <c r="F100" s="90" t="s">
        <v>115</v>
      </c>
      <c r="G100" s="91"/>
    </row>
    <row r="101" spans="1:7" s="90" customFormat="1" ht="15" customHeight="1" x14ac:dyDescent="0.2">
      <c r="A101" s="90" t="s">
        <v>98</v>
      </c>
      <c r="C101" s="87"/>
      <c r="D101" s="87" t="s">
        <v>99</v>
      </c>
      <c r="E101" s="92">
        <f>E100*0.0254</f>
        <v>7.619999999999999E-2</v>
      </c>
      <c r="F101" s="90" t="s">
        <v>54</v>
      </c>
      <c r="G101" s="91"/>
    </row>
    <row r="102" spans="1:7" s="90" customFormat="1" ht="15" customHeight="1" x14ac:dyDescent="0.2">
      <c r="A102" s="90" t="s">
        <v>127</v>
      </c>
      <c r="C102" s="87"/>
      <c r="D102" s="87" t="s">
        <v>63</v>
      </c>
      <c r="E102" s="91">
        <f>+(PI()/4)*(E101^2)</f>
        <v>4.5603673118774788E-3</v>
      </c>
      <c r="F102" s="90" t="s">
        <v>206</v>
      </c>
      <c r="G102" s="91"/>
    </row>
    <row r="103" spans="1:7" s="90" customFormat="1" ht="15" customHeight="1" x14ac:dyDescent="0.2">
      <c r="A103" s="90" t="s">
        <v>102</v>
      </c>
      <c r="C103" s="87"/>
      <c r="D103" s="87" t="s">
        <v>103</v>
      </c>
      <c r="E103" s="117">
        <f>0.33</f>
        <v>0.33</v>
      </c>
      <c r="F103" s="90" t="s">
        <v>54</v>
      </c>
      <c r="G103" s="92"/>
    </row>
    <row r="104" spans="1:7" s="90" customFormat="1" ht="15" customHeight="1" x14ac:dyDescent="0.2">
      <c r="A104" s="90" t="s">
        <v>104</v>
      </c>
      <c r="B104" s="91"/>
      <c r="D104" s="87" t="s">
        <v>105</v>
      </c>
      <c r="E104" s="92">
        <v>9.81</v>
      </c>
      <c r="F104" s="90" t="s">
        <v>200</v>
      </c>
      <c r="G104" s="92"/>
    </row>
    <row r="105" spans="1:7" s="90" customFormat="1" ht="9.9499999999999993" customHeight="1" x14ac:dyDescent="0.2">
      <c r="G105" s="91"/>
    </row>
    <row r="106" spans="1:7" s="90" customFormat="1" ht="15" customHeight="1" x14ac:dyDescent="0.2">
      <c r="C106" s="107" t="s">
        <v>232</v>
      </c>
      <c r="D106" s="114">
        <f>ROUND(((1000)*(E99*E102)*(((2*E104)*(E103^1.5))^0.5)),1)</f>
        <v>5.4</v>
      </c>
      <c r="E106" s="108" t="s">
        <v>129</v>
      </c>
    </row>
    <row r="107" spans="1:7" s="90" customFormat="1" ht="9.9499999999999993" customHeight="1" x14ac:dyDescent="0.2"/>
    <row r="108" spans="1:7" ht="30" customHeight="1" x14ac:dyDescent="0.2">
      <c r="A108" s="270" t="str">
        <f>+CONCATENATE("De acuerdo con lo anterior, la tubería de aducción existente, según las consideraciones hidráulicas teóricas usadas para el presente proyecto, tiene una capacidad máxima de transporte de ",D106,"L/s.")</f>
        <v>De acuerdo con lo anterior, la tubería de aducción existente, según las consideraciones hidráulicas teóricas usadas para el presente proyecto, tiene una capacidad máxima de transporte de 5,4L/s.</v>
      </c>
      <c r="B108" s="270"/>
      <c r="C108" s="270"/>
      <c r="D108" s="270"/>
      <c r="E108" s="270"/>
      <c r="F108" s="270"/>
      <c r="G108" s="270"/>
    </row>
    <row r="109" spans="1:7" s="90" customFormat="1" ht="9.9499999999999993" customHeight="1" x14ac:dyDescent="0.2">
      <c r="A109" s="106"/>
      <c r="B109" s="110"/>
      <c r="C109" s="110"/>
      <c r="D109" s="110"/>
      <c r="E109" s="110"/>
      <c r="F109" s="110"/>
      <c r="G109" s="110"/>
    </row>
    <row r="110" spans="1:7" s="90" customFormat="1" ht="15" customHeight="1" x14ac:dyDescent="0.2">
      <c r="A110" s="101" t="s">
        <v>233</v>
      </c>
    </row>
    <row r="111" spans="1:7" s="90" customFormat="1" ht="9.9499999999999993" customHeight="1" x14ac:dyDescent="0.2">
      <c r="A111" s="106"/>
      <c r="B111" s="110"/>
      <c r="C111" s="110"/>
      <c r="D111" s="110"/>
      <c r="E111" s="110"/>
      <c r="F111" s="110"/>
      <c r="G111" s="110"/>
    </row>
    <row r="112" spans="1:7" s="90" customFormat="1" ht="34.5" customHeight="1" x14ac:dyDescent="0.2">
      <c r="A112" s="271" t="s">
        <v>327</v>
      </c>
      <c r="B112" s="271"/>
      <c r="C112" s="271"/>
      <c r="D112" s="271"/>
      <c r="E112" s="271"/>
      <c r="F112" s="271"/>
      <c r="G112" s="271"/>
    </row>
    <row r="113" spans="1:7" ht="40.5" customHeight="1" x14ac:dyDescent="0.2">
      <c r="A113" s="270" t="s">
        <v>359</v>
      </c>
      <c r="B113" s="270"/>
      <c r="C113" s="270"/>
      <c r="D113" s="270"/>
      <c r="E113" s="270"/>
      <c r="F113" s="270"/>
      <c r="G113" s="270"/>
    </row>
    <row r="114" spans="1:7" ht="45" customHeight="1" x14ac:dyDescent="0.2">
      <c r="A114" s="270" t="s">
        <v>328</v>
      </c>
      <c r="B114" s="270"/>
      <c r="C114" s="270"/>
      <c r="D114" s="270"/>
      <c r="E114" s="270"/>
      <c r="F114" s="270"/>
      <c r="G114" s="270"/>
    </row>
    <row r="115" spans="1:7" s="90" customFormat="1" ht="9.9499999999999993" customHeight="1" x14ac:dyDescent="0.2"/>
    <row r="116" spans="1:7" ht="15" customHeight="1" x14ac:dyDescent="0.2">
      <c r="A116" s="274" t="s">
        <v>238</v>
      </c>
      <c r="B116" s="274"/>
      <c r="C116" s="274"/>
      <c r="D116" s="274"/>
      <c r="E116" s="274"/>
      <c r="F116" s="274"/>
      <c r="G116" s="274"/>
    </row>
    <row r="117" spans="1:7" ht="15" customHeight="1" x14ac:dyDescent="0.2">
      <c r="A117" s="274" t="s">
        <v>236</v>
      </c>
      <c r="B117" s="274"/>
      <c r="C117" s="274"/>
      <c r="D117" s="274"/>
      <c r="E117" s="274"/>
      <c r="F117" s="274"/>
      <c r="G117" s="274"/>
    </row>
    <row r="118" spans="1:7" ht="15" customHeight="1" x14ac:dyDescent="0.2">
      <c r="A118" s="274" t="s">
        <v>237</v>
      </c>
      <c r="B118" s="274"/>
      <c r="C118" s="274"/>
      <c r="D118" s="274"/>
      <c r="E118" s="274"/>
      <c r="F118" s="274"/>
      <c r="G118" s="274"/>
    </row>
  </sheetData>
  <mergeCells count="44">
    <mergeCell ref="A11:G11"/>
    <mergeCell ref="A16:G16"/>
    <mergeCell ref="A18:G18"/>
    <mergeCell ref="A40:G40"/>
    <mergeCell ref="B2:F2"/>
    <mergeCell ref="B3:F6"/>
    <mergeCell ref="B7:C8"/>
    <mergeCell ref="F7:F8"/>
    <mergeCell ref="D7:E8"/>
    <mergeCell ref="A2:A8"/>
    <mergeCell ref="G2:G8"/>
    <mergeCell ref="A38:G38"/>
    <mergeCell ref="A63:G63"/>
    <mergeCell ref="A108:G108"/>
    <mergeCell ref="A65:G65"/>
    <mergeCell ref="A69:G69"/>
    <mergeCell ref="A91:G91"/>
    <mergeCell ref="A89:G89"/>
    <mergeCell ref="A60:C60"/>
    <mergeCell ref="A53:G53"/>
    <mergeCell ref="A55:G55"/>
    <mergeCell ref="A58:C58"/>
    <mergeCell ref="A59:C59"/>
    <mergeCell ref="A118:G118"/>
    <mergeCell ref="A117:G117"/>
    <mergeCell ref="A112:G112"/>
    <mergeCell ref="A9:G9"/>
    <mergeCell ref="A20:G20"/>
    <mergeCell ref="A22:G22"/>
    <mergeCell ref="A13:G13"/>
    <mergeCell ref="A116:G116"/>
    <mergeCell ref="A95:G95"/>
    <mergeCell ref="A67:G67"/>
    <mergeCell ref="A14:G14"/>
    <mergeCell ref="A42:G42"/>
    <mergeCell ref="A44:G44"/>
    <mergeCell ref="A51:G51"/>
    <mergeCell ref="A45:G45"/>
    <mergeCell ref="A61:C61"/>
    <mergeCell ref="A114:G114"/>
    <mergeCell ref="A71:G71"/>
    <mergeCell ref="A93:G93"/>
    <mergeCell ref="A73:G73"/>
    <mergeCell ref="A113:G113"/>
  </mergeCells>
  <phoneticPr fontId="0" type="noConversion"/>
  <printOptions horizontalCentered="1"/>
  <pageMargins left="0.19685039370078741" right="0.19685039370078741" top="0.59055118110236227" bottom="0.39370078740157483" header="0" footer="0.39370078740157483"/>
  <pageSetup orientation="portrait" horizontalDpi="300" verticalDpi="300" r:id="rId1"/>
  <headerFooter alignWithMargins="0">
    <oddFooter>&amp;C&amp;"Calibri,Normal"&amp;8Página &amp;P de &amp;N</oddFooter>
  </headerFooter>
  <rowBreaks count="3" manualBreakCount="3">
    <brk id="38" max="6" man="1"/>
    <brk id="67" max="6" man="1"/>
    <brk id="95" max="6"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0"/>
  <sheetViews>
    <sheetView view="pageBreakPreview" zoomScaleSheetLayoutView="100" workbookViewId="0">
      <selection activeCell="D29" sqref="D29"/>
    </sheetView>
  </sheetViews>
  <sheetFormatPr baseColWidth="10" defaultRowHeight="12.75" x14ac:dyDescent="0.2"/>
  <cols>
    <col min="1" max="1" width="11.42578125" style="15"/>
    <col min="2" max="3" width="12.140625" style="15" customWidth="1"/>
    <col min="4" max="4" width="11.7109375" style="15" customWidth="1"/>
    <col min="5" max="5" width="9.28515625" style="15" customWidth="1"/>
    <col min="6" max="6" width="11.42578125" style="15"/>
    <col min="7" max="7" width="12.85546875" style="15" customWidth="1"/>
    <col min="8" max="16384" width="11.42578125" style="15"/>
  </cols>
  <sheetData>
    <row r="1" spans="1:8" ht="21" customHeight="1" x14ac:dyDescent="0.2"/>
    <row r="2" spans="1:8" ht="42" customHeight="1" x14ac:dyDescent="0.2"/>
    <row r="4" spans="1:8" s="14" customFormat="1" ht="24.75" customHeight="1" x14ac:dyDescent="0.2">
      <c r="A4" s="302" t="s">
        <v>194</v>
      </c>
      <c r="B4" s="302"/>
      <c r="C4" s="302"/>
      <c r="D4" s="302"/>
      <c r="E4" s="302"/>
      <c r="F4" s="302"/>
      <c r="G4" s="302"/>
      <c r="H4" s="4"/>
    </row>
    <row r="5" spans="1:8" s="14" customFormat="1" ht="15" customHeight="1" x14ac:dyDescent="0.2">
      <c r="A5" s="4"/>
      <c r="B5" s="32"/>
      <c r="C5" s="32"/>
      <c r="D5" s="32"/>
      <c r="E5" s="32"/>
      <c r="F5" s="32"/>
      <c r="G5" s="32"/>
    </row>
    <row r="6" spans="1:8" s="14" customFormat="1" ht="15" customHeight="1" x14ac:dyDescent="0.2">
      <c r="A6" s="306" t="s">
        <v>188</v>
      </c>
      <c r="B6" s="307"/>
      <c r="C6" s="32"/>
      <c r="D6" s="32"/>
      <c r="E6" s="32"/>
      <c r="F6" s="32"/>
      <c r="G6" s="32"/>
    </row>
    <row r="7" spans="1:8" s="14" customFormat="1" ht="53.25" customHeight="1" x14ac:dyDescent="0.2">
      <c r="A7" s="287" t="s">
        <v>177</v>
      </c>
      <c r="B7" s="287"/>
      <c r="C7" s="287"/>
      <c r="D7" s="287"/>
      <c r="E7" s="287"/>
      <c r="F7" s="287"/>
      <c r="G7" s="287"/>
    </row>
    <row r="8" spans="1:8" s="14" customFormat="1" ht="54" customHeight="1" x14ac:dyDescent="0.2">
      <c r="A8" s="289" t="s">
        <v>179</v>
      </c>
      <c r="B8" s="289"/>
      <c r="C8" s="289"/>
      <c r="D8" s="289"/>
      <c r="E8" s="289"/>
      <c r="F8" s="289"/>
      <c r="G8" s="289"/>
    </row>
    <row r="9" spans="1:8" s="14" customFormat="1" x14ac:dyDescent="0.2">
      <c r="A9" s="35"/>
      <c r="B9" s="35"/>
      <c r="C9" s="35"/>
      <c r="D9" s="35"/>
      <c r="E9" s="35"/>
      <c r="F9" s="35"/>
      <c r="G9" s="35"/>
    </row>
    <row r="10" spans="1:8" s="14" customFormat="1" ht="14.25" customHeight="1" x14ac:dyDescent="0.2">
      <c r="A10" s="304" t="s">
        <v>184</v>
      </c>
      <c r="B10" s="305"/>
      <c r="C10" s="305"/>
      <c r="D10" s="305"/>
      <c r="E10" s="305"/>
      <c r="F10" s="305"/>
      <c r="G10" s="305"/>
    </row>
    <row r="11" spans="1:8" s="14" customFormat="1" ht="9" customHeight="1" x14ac:dyDescent="0.2">
      <c r="B11" s="1"/>
      <c r="C11" s="1"/>
      <c r="D11" s="1"/>
      <c r="E11" s="1"/>
      <c r="F11" s="1"/>
      <c r="G11" s="1"/>
    </row>
    <row r="12" spans="1:8" ht="28.5" customHeight="1" x14ac:dyDescent="0.2">
      <c r="A12" s="287" t="s">
        <v>126</v>
      </c>
      <c r="B12" s="287"/>
      <c r="C12" s="287"/>
      <c r="D12" s="287"/>
      <c r="E12" s="287"/>
      <c r="F12" s="287"/>
      <c r="G12" s="287"/>
    </row>
    <row r="13" spans="1:8" ht="9" customHeight="1" x14ac:dyDescent="0.2">
      <c r="A13" s="31"/>
      <c r="B13" s="31"/>
      <c r="C13" s="31"/>
      <c r="D13" s="31"/>
      <c r="E13" s="31"/>
      <c r="F13" s="31"/>
      <c r="G13" s="31"/>
    </row>
    <row r="14" spans="1:8" ht="20.100000000000001" customHeight="1" x14ac:dyDescent="0.2">
      <c r="A14" s="288" t="s">
        <v>56</v>
      </c>
      <c r="B14" s="288"/>
      <c r="C14" s="288"/>
      <c r="D14" s="288"/>
      <c r="E14" s="288"/>
      <c r="F14" s="288"/>
      <c r="G14" s="288"/>
    </row>
    <row r="15" spans="1:8" ht="24" customHeight="1" x14ac:dyDescent="0.2">
      <c r="A15" s="287" t="s">
        <v>171</v>
      </c>
      <c r="B15" s="287"/>
      <c r="C15" s="287"/>
      <c r="D15" s="287"/>
      <c r="E15" s="287"/>
      <c r="F15" s="287"/>
      <c r="G15" s="287"/>
    </row>
    <row r="16" spans="1:8" ht="9" customHeight="1" x14ac:dyDescent="0.2">
      <c r="A16" s="31"/>
      <c r="B16" s="31"/>
      <c r="C16" s="31"/>
      <c r="D16" s="31"/>
      <c r="E16" s="31"/>
      <c r="F16" s="31"/>
      <c r="G16" s="31"/>
    </row>
    <row r="17" spans="1:10" x14ac:dyDescent="0.2">
      <c r="A17" s="15" t="s">
        <v>88</v>
      </c>
      <c r="E17" s="23"/>
      <c r="F17" s="20"/>
      <c r="G17" s="20"/>
    </row>
    <row r="18" spans="1:10" ht="15.75" x14ac:dyDescent="0.2">
      <c r="A18" s="15" t="s">
        <v>137</v>
      </c>
      <c r="E18" s="26"/>
      <c r="F18" s="3"/>
      <c r="G18" s="20"/>
    </row>
    <row r="19" spans="1:10" ht="24" customHeight="1" x14ac:dyDescent="0.2">
      <c r="A19" s="303" t="s">
        <v>176</v>
      </c>
      <c r="B19" s="303"/>
      <c r="C19" s="303"/>
      <c r="D19" s="303"/>
      <c r="E19" s="33">
        <v>0.497</v>
      </c>
      <c r="G19" s="20"/>
      <c r="H19" s="3"/>
    </row>
    <row r="20" spans="1:10" ht="15.75" x14ac:dyDescent="0.2">
      <c r="A20" s="15" t="s">
        <v>139</v>
      </c>
      <c r="E20" s="30">
        <f>+((E23+1)*E21)/(E22)</f>
        <v>0.3666666666666667</v>
      </c>
      <c r="J20" s="24"/>
    </row>
    <row r="21" spans="1:10" ht="15.75" x14ac:dyDescent="0.2">
      <c r="A21" s="15" t="s">
        <v>140</v>
      </c>
      <c r="E21" s="28">
        <v>0.01</v>
      </c>
      <c r="F21" s="15" t="s">
        <v>54</v>
      </c>
      <c r="H21" s="20"/>
    </row>
    <row r="22" spans="1:10" x14ac:dyDescent="0.2">
      <c r="A22" s="15" t="s">
        <v>141</v>
      </c>
      <c r="E22" s="28">
        <v>0.3</v>
      </c>
      <c r="F22" s="15" t="s">
        <v>54</v>
      </c>
      <c r="H22" s="3"/>
    </row>
    <row r="23" spans="1:10" ht="15.75" x14ac:dyDescent="0.2">
      <c r="A23" s="15" t="s">
        <v>142</v>
      </c>
      <c r="E23" s="28">
        <v>10</v>
      </c>
      <c r="F23" s="15" t="s">
        <v>87</v>
      </c>
      <c r="H23" s="30"/>
    </row>
    <row r="24" spans="1:10" ht="15.75" x14ac:dyDescent="0.2">
      <c r="A24" s="15" t="s">
        <v>175</v>
      </c>
      <c r="C24" s="20"/>
      <c r="D24" s="20"/>
      <c r="E24" s="29">
        <f>0.025*(1/2)</f>
        <v>1.2500000000000001E-2</v>
      </c>
      <c r="F24" s="15" t="s">
        <v>54</v>
      </c>
    </row>
    <row r="25" spans="1:10" x14ac:dyDescent="0.2">
      <c r="A25" s="15" t="s">
        <v>160</v>
      </c>
      <c r="C25" s="20"/>
      <c r="D25" s="20"/>
      <c r="E25" s="34">
        <v>0.3</v>
      </c>
      <c r="F25" s="15" t="s">
        <v>54</v>
      </c>
    </row>
    <row r="26" spans="1:10" ht="14.25" x14ac:dyDescent="0.2">
      <c r="A26" s="15" t="s">
        <v>143</v>
      </c>
      <c r="C26" s="20"/>
      <c r="E26" s="15">
        <v>9.81</v>
      </c>
      <c r="F26" s="15" t="s">
        <v>55</v>
      </c>
    </row>
    <row r="27" spans="1:10" x14ac:dyDescent="0.2">
      <c r="A27" s="15" t="s">
        <v>144</v>
      </c>
      <c r="C27" s="20"/>
      <c r="E27" s="15">
        <v>1.56</v>
      </c>
    </row>
    <row r="28" spans="1:10" ht="12.95" customHeight="1" x14ac:dyDescent="0.2">
      <c r="C28" s="20"/>
    </row>
    <row r="29" spans="1:10" ht="14.25" x14ac:dyDescent="0.2">
      <c r="C29" s="16" t="s">
        <v>58</v>
      </c>
      <c r="D29" s="17">
        <f>(((E19*E20*(E25^(2/3))*((2*E26)^(0.5))*E22)/(E27^(1/3)))^(3/2))*1000</f>
        <v>28.622450875237316</v>
      </c>
      <c r="E29" s="18" t="s">
        <v>129</v>
      </c>
      <c r="F29" s="2"/>
      <c r="G29" s="2"/>
      <c r="H29" s="2"/>
      <c r="I29" s="2"/>
    </row>
    <row r="30" spans="1:10" ht="11.25" customHeight="1" x14ac:dyDescent="0.2">
      <c r="C30" s="20"/>
    </row>
    <row r="31" spans="1:10" ht="25.5" customHeight="1" x14ac:dyDescent="0.2">
      <c r="A31" s="289" t="s">
        <v>162</v>
      </c>
      <c r="B31" s="289"/>
      <c r="C31" s="289"/>
      <c r="D31" s="289"/>
      <c r="E31" s="289"/>
      <c r="F31" s="289"/>
      <c r="G31" s="289"/>
    </row>
    <row r="32" spans="1:10" ht="12.95" customHeight="1" x14ac:dyDescent="0.2">
      <c r="C32" s="20"/>
    </row>
    <row r="33" spans="1:7" s="14" customFormat="1" ht="14.25" customHeight="1" x14ac:dyDescent="0.2">
      <c r="A33" s="5" t="s">
        <v>185</v>
      </c>
      <c r="B33" s="1"/>
      <c r="C33" s="1"/>
      <c r="D33" s="1"/>
      <c r="E33" s="1"/>
      <c r="F33" s="1"/>
      <c r="G33" s="1"/>
    </row>
    <row r="34" spans="1:7" s="14" customFormat="1" ht="9" customHeight="1" x14ac:dyDescent="0.2">
      <c r="A34" s="5"/>
      <c r="B34" s="1"/>
      <c r="C34" s="1"/>
      <c r="D34" s="1"/>
      <c r="E34" s="1"/>
      <c r="F34" s="1"/>
      <c r="G34" s="1"/>
    </row>
    <row r="35" spans="1:7" s="14" customFormat="1" ht="41.25" customHeight="1" x14ac:dyDescent="0.2">
      <c r="A35" s="287" t="s">
        <v>116</v>
      </c>
      <c r="B35" s="287"/>
      <c r="C35" s="287"/>
      <c r="D35" s="287"/>
      <c r="E35" s="287"/>
      <c r="F35" s="287"/>
      <c r="G35" s="287"/>
    </row>
    <row r="36" spans="1:7" s="14" customFormat="1" ht="21.75" customHeight="1" x14ac:dyDescent="0.2">
      <c r="A36" s="288" t="s">
        <v>173</v>
      </c>
      <c r="B36" s="288"/>
      <c r="C36" s="288"/>
      <c r="D36" s="288"/>
      <c r="E36" s="288"/>
      <c r="F36" s="288"/>
      <c r="G36" s="288"/>
    </row>
    <row r="37" spans="1:7" s="14" customFormat="1" ht="30.75" customHeight="1" x14ac:dyDescent="0.2">
      <c r="A37" s="287" t="s">
        <v>172</v>
      </c>
      <c r="B37" s="287"/>
      <c r="C37" s="287"/>
      <c r="D37" s="287"/>
      <c r="E37" s="287"/>
      <c r="F37" s="287"/>
      <c r="G37" s="287"/>
    </row>
    <row r="38" spans="1:7" s="14" customFormat="1" x14ac:dyDescent="0.2">
      <c r="A38" s="15" t="s">
        <v>88</v>
      </c>
      <c r="B38" s="1"/>
      <c r="C38" s="1"/>
      <c r="D38" s="1"/>
      <c r="E38" s="1"/>
      <c r="F38" s="1"/>
      <c r="G38" s="1"/>
    </row>
    <row r="39" spans="1:7" s="14" customFormat="1" ht="15" customHeight="1" x14ac:dyDescent="0.2">
      <c r="A39" s="15" t="s">
        <v>59</v>
      </c>
      <c r="B39" s="1"/>
      <c r="C39" s="1"/>
      <c r="D39" s="19">
        <f>+D29/1000</f>
        <v>2.8622450875237317E-2</v>
      </c>
      <c r="E39" s="3" t="s">
        <v>60</v>
      </c>
      <c r="F39" s="3"/>
      <c r="G39" s="3"/>
    </row>
    <row r="40" spans="1:7" s="14" customFormat="1" ht="15" customHeight="1" x14ac:dyDescent="0.2">
      <c r="A40" s="15" t="s">
        <v>57</v>
      </c>
      <c r="B40" s="1"/>
      <c r="C40" s="1"/>
      <c r="D40" s="73">
        <v>0.3</v>
      </c>
      <c r="E40" s="3" t="s">
        <v>54</v>
      </c>
      <c r="F40" s="3"/>
      <c r="G40" s="3"/>
    </row>
    <row r="41" spans="1:7" s="14" customFormat="1" ht="15" customHeight="1" x14ac:dyDescent="0.2">
      <c r="A41" s="15" t="s">
        <v>62</v>
      </c>
      <c r="B41" s="1"/>
      <c r="C41" s="1"/>
      <c r="D41" s="21">
        <f>+(D39/(1.84*D40))^(2/3)</f>
        <v>0.13905240157105919</v>
      </c>
      <c r="E41" s="5" t="s">
        <v>54</v>
      </c>
      <c r="F41" s="3"/>
      <c r="G41" s="3"/>
    </row>
    <row r="42" spans="1:7" s="14" customFormat="1" ht="12.95" customHeight="1" x14ac:dyDescent="0.2">
      <c r="A42" s="15"/>
      <c r="B42" s="1"/>
      <c r="C42" s="1"/>
      <c r="D42" s="21"/>
      <c r="E42" s="5"/>
      <c r="F42" s="3"/>
      <c r="G42" s="3"/>
    </row>
    <row r="43" spans="1:7" s="14" customFormat="1" ht="28.5" customHeight="1" x14ac:dyDescent="0.2">
      <c r="A43" s="289" t="str">
        <f>+CONCATENATE("Lo anterior indica que para que por el vertedero de captación  circule el caudal máximo de captación, es necesario contar con una lamina de agua igual a ",ROUND((D41),2)," m")</f>
        <v>Lo anterior indica que para que por el vertedero de captación  circule el caudal máximo de captación, es necesario contar con una lamina de agua igual a 0,14 m</v>
      </c>
      <c r="B43" s="289"/>
      <c r="C43" s="289"/>
      <c r="D43" s="289"/>
      <c r="E43" s="289"/>
      <c r="F43" s="289"/>
      <c r="G43" s="289"/>
    </row>
    <row r="44" spans="1:7" s="14" customFormat="1" ht="21.75" customHeight="1" x14ac:dyDescent="0.2">
      <c r="A44" s="289" t="s">
        <v>178</v>
      </c>
      <c r="B44" s="289"/>
      <c r="C44" s="289"/>
      <c r="D44" s="289"/>
      <c r="E44" s="289"/>
      <c r="F44" s="289"/>
      <c r="G44" s="289"/>
    </row>
    <row r="45" spans="1:7" s="14" customFormat="1" ht="23.25" customHeight="1" x14ac:dyDescent="0.2">
      <c r="A45" s="288" t="s">
        <v>163</v>
      </c>
      <c r="B45" s="288"/>
      <c r="C45" s="288"/>
      <c r="D45" s="288"/>
      <c r="E45" s="288"/>
      <c r="F45" s="288"/>
      <c r="G45" s="288"/>
    </row>
    <row r="46" spans="1:7" s="14" customFormat="1" x14ac:dyDescent="0.2">
      <c r="A46" s="15" t="s">
        <v>88</v>
      </c>
      <c r="B46" s="1"/>
      <c r="C46" s="1"/>
      <c r="D46" s="1"/>
      <c r="E46" s="1"/>
      <c r="F46" s="1"/>
      <c r="G46" s="1"/>
    </row>
    <row r="47" spans="1:7" s="14" customFormat="1" ht="15" customHeight="1" x14ac:dyDescent="0.2">
      <c r="A47" s="290" t="s">
        <v>165</v>
      </c>
      <c r="B47" s="290"/>
      <c r="C47" s="290"/>
      <c r="D47" s="30">
        <v>0.09</v>
      </c>
      <c r="E47" s="3" t="s">
        <v>54</v>
      </c>
      <c r="F47" s="3"/>
      <c r="G47" s="3"/>
    </row>
    <row r="48" spans="1:7" s="14" customFormat="1" ht="15" customHeight="1" x14ac:dyDescent="0.2">
      <c r="A48" s="290" t="s">
        <v>164</v>
      </c>
      <c r="B48" s="290"/>
      <c r="C48" s="290"/>
      <c r="D48" s="73">
        <v>0.3</v>
      </c>
      <c r="E48" s="3" t="s">
        <v>54</v>
      </c>
      <c r="F48" s="3"/>
      <c r="G48" s="3"/>
    </row>
    <row r="49" spans="1:7" s="14" customFormat="1" ht="15" customHeight="1" x14ac:dyDescent="0.2">
      <c r="A49" s="290" t="s">
        <v>167</v>
      </c>
      <c r="B49" s="290"/>
      <c r="C49" s="290"/>
      <c r="D49" s="74">
        <f>(1.834*D48*(D47^(3/2)))</f>
        <v>1.4855399999999991E-2</v>
      </c>
      <c r="E49" s="5" t="s">
        <v>161</v>
      </c>
      <c r="F49" s="3"/>
      <c r="G49" s="3"/>
    </row>
    <row r="50" spans="1:7" s="14" customFormat="1" ht="15" customHeight="1" x14ac:dyDescent="0.2">
      <c r="A50" s="289"/>
      <c r="B50" s="289"/>
      <c r="C50" s="289"/>
      <c r="D50" s="289"/>
      <c r="E50" s="289"/>
      <c r="F50" s="289"/>
      <c r="G50" s="289"/>
    </row>
    <row r="51" spans="1:7" s="14" customFormat="1" ht="14.25" customHeight="1" x14ac:dyDescent="0.2">
      <c r="A51" s="5" t="s">
        <v>186</v>
      </c>
      <c r="B51" s="1"/>
      <c r="C51" s="1"/>
      <c r="D51" s="1"/>
      <c r="E51" s="1"/>
      <c r="F51" s="1"/>
      <c r="G51" s="1"/>
    </row>
    <row r="52" spans="1:7" s="14" customFormat="1" ht="6" customHeight="1" x14ac:dyDescent="0.2">
      <c r="A52" s="5"/>
      <c r="B52" s="1"/>
      <c r="C52" s="1"/>
      <c r="D52" s="1"/>
      <c r="E52" s="1"/>
      <c r="F52" s="1"/>
      <c r="G52" s="1"/>
    </row>
    <row r="53" spans="1:7" s="14" customFormat="1" ht="30" customHeight="1" x14ac:dyDescent="0.2">
      <c r="A53" s="287" t="s">
        <v>168</v>
      </c>
      <c r="B53" s="287"/>
      <c r="C53" s="287"/>
      <c r="D53" s="287"/>
      <c r="E53" s="287"/>
      <c r="F53" s="287"/>
      <c r="G53" s="287"/>
    </row>
    <row r="54" spans="1:7" s="14" customFormat="1" ht="12" customHeight="1" x14ac:dyDescent="0.2">
      <c r="A54" s="35"/>
      <c r="B54" s="35"/>
      <c r="C54" s="35"/>
      <c r="D54" s="35"/>
      <c r="E54" s="35"/>
      <c r="F54" s="35"/>
      <c r="G54" s="35"/>
    </row>
    <row r="55" spans="1:7" s="27" customFormat="1" ht="14.25" customHeight="1" x14ac:dyDescent="0.2">
      <c r="A55" s="36" t="s">
        <v>189</v>
      </c>
      <c r="B55" s="37"/>
      <c r="C55" s="37"/>
      <c r="D55" s="37"/>
      <c r="E55" s="37"/>
      <c r="F55" s="37"/>
      <c r="G55" s="37"/>
    </row>
    <row r="56" spans="1:7" s="27" customFormat="1" ht="6.75" customHeight="1" x14ac:dyDescent="0.2">
      <c r="A56" s="36"/>
      <c r="B56" s="37"/>
      <c r="C56" s="37"/>
      <c r="D56" s="37"/>
      <c r="E56" s="37"/>
      <c r="F56" s="37"/>
      <c r="G56" s="37"/>
    </row>
    <row r="57" spans="1:7" s="38" customFormat="1" ht="75" customHeight="1" x14ac:dyDescent="0.2">
      <c r="A57" s="286" t="s">
        <v>183</v>
      </c>
      <c r="B57" s="282"/>
      <c r="C57" s="282"/>
      <c r="D57" s="282"/>
      <c r="E57" s="282"/>
      <c r="F57" s="282"/>
      <c r="G57" s="282"/>
    </row>
    <row r="58" spans="1:7" s="14" customFormat="1" ht="14.25" hidden="1" customHeight="1" x14ac:dyDescent="0.2">
      <c r="A58" s="14" t="s">
        <v>150</v>
      </c>
      <c r="B58" s="15"/>
      <c r="C58" s="15"/>
      <c r="D58" s="15"/>
      <c r="E58" s="15"/>
      <c r="F58" s="15"/>
      <c r="G58" s="15"/>
    </row>
    <row r="59" spans="1:7" s="14" customFormat="1" ht="9.9499999999999993" hidden="1" customHeight="1" x14ac:dyDescent="0.2">
      <c r="A59" s="15"/>
      <c r="B59" s="15"/>
      <c r="C59" s="15"/>
      <c r="D59" s="15"/>
      <c r="E59" s="15"/>
      <c r="F59" s="15"/>
      <c r="G59" s="15"/>
    </row>
    <row r="60" spans="1:7" s="14" customFormat="1" ht="85.5" hidden="1" customHeight="1" x14ac:dyDescent="0.2">
      <c r="A60" s="282" t="s">
        <v>174</v>
      </c>
      <c r="B60" s="282"/>
      <c r="C60" s="282"/>
      <c r="D60" s="282"/>
      <c r="E60" s="282"/>
      <c r="F60" s="282"/>
      <c r="G60" s="282"/>
    </row>
    <row r="61" spans="1:7" ht="9.9499999999999993" hidden="1" customHeight="1" x14ac:dyDescent="0.2"/>
    <row r="62" spans="1:7" ht="17.25" hidden="1" customHeight="1" x14ac:dyDescent="0.2">
      <c r="A62" s="288" t="s">
        <v>125</v>
      </c>
      <c r="B62" s="288"/>
      <c r="C62" s="288"/>
      <c r="D62" s="288"/>
      <c r="E62" s="288"/>
      <c r="F62" s="288"/>
      <c r="G62" s="288"/>
    </row>
    <row r="63" spans="1:7" ht="9.9499999999999993" hidden="1" customHeight="1" x14ac:dyDescent="0.2"/>
    <row r="64" spans="1:7" ht="16.5" hidden="1" customHeight="1" x14ac:dyDescent="0.2">
      <c r="A64" s="15" t="s">
        <v>88</v>
      </c>
      <c r="B64" s="23"/>
      <c r="C64" s="30"/>
    </row>
    <row r="65" spans="1:7" ht="16.5" hidden="1" customHeight="1" x14ac:dyDescent="0.2">
      <c r="A65" s="15" t="s">
        <v>124</v>
      </c>
      <c r="C65" s="20"/>
      <c r="D65" s="20" t="s">
        <v>117</v>
      </c>
      <c r="E65" s="26">
        <f>+C73</f>
        <v>153</v>
      </c>
      <c r="F65" s="15" t="s">
        <v>129</v>
      </c>
    </row>
    <row r="66" spans="1:7" ht="16.5" hidden="1" customHeight="1" x14ac:dyDescent="0.2">
      <c r="A66" s="15" t="s">
        <v>100</v>
      </c>
      <c r="C66" s="20"/>
      <c r="D66" s="20" t="s">
        <v>101</v>
      </c>
      <c r="E66" s="28">
        <v>0.61</v>
      </c>
      <c r="G66" s="28"/>
    </row>
    <row r="67" spans="1:7" ht="16.5" hidden="1" customHeight="1" x14ac:dyDescent="0.2">
      <c r="A67" s="15" t="s">
        <v>98</v>
      </c>
      <c r="C67" s="20"/>
      <c r="D67" s="20" t="s">
        <v>99</v>
      </c>
      <c r="E67" s="25">
        <v>10</v>
      </c>
      <c r="F67" s="15" t="s">
        <v>115</v>
      </c>
      <c r="G67" s="24"/>
    </row>
    <row r="68" spans="1:7" ht="16.5" hidden="1" customHeight="1" x14ac:dyDescent="0.2">
      <c r="A68" s="15" t="s">
        <v>98</v>
      </c>
      <c r="C68" s="20"/>
      <c r="D68" s="20" t="s">
        <v>99</v>
      </c>
      <c r="E68" s="23">
        <f>E67*0.025</f>
        <v>0.25</v>
      </c>
      <c r="F68" s="15" t="s">
        <v>54</v>
      </c>
      <c r="G68" s="24"/>
    </row>
    <row r="69" spans="1:7" ht="16.5" hidden="1" customHeight="1" x14ac:dyDescent="0.2">
      <c r="A69" s="15" t="s">
        <v>127</v>
      </c>
      <c r="C69" s="20"/>
      <c r="D69" s="20" t="s">
        <v>63</v>
      </c>
      <c r="E69" s="24">
        <f>+(PI()/4)*(E68^2)</f>
        <v>4.9087385212340517E-2</v>
      </c>
      <c r="F69" s="15" t="s">
        <v>61</v>
      </c>
      <c r="G69" s="24"/>
    </row>
    <row r="70" spans="1:7" ht="16.5" hidden="1" customHeight="1" x14ac:dyDescent="0.2">
      <c r="A70" s="15" t="s">
        <v>102</v>
      </c>
      <c r="C70" s="20"/>
      <c r="D70" s="20" t="s">
        <v>103</v>
      </c>
      <c r="E70" s="23">
        <v>1.21</v>
      </c>
      <c r="F70" s="15" t="s">
        <v>54</v>
      </c>
      <c r="G70" s="23"/>
    </row>
    <row r="71" spans="1:7" ht="16.5" hidden="1" customHeight="1" x14ac:dyDescent="0.2">
      <c r="A71" s="15" t="s">
        <v>104</v>
      </c>
      <c r="B71" s="24"/>
      <c r="D71" s="20" t="s">
        <v>105</v>
      </c>
      <c r="E71" s="23">
        <v>9.81</v>
      </c>
      <c r="F71" s="15" t="s">
        <v>55</v>
      </c>
      <c r="G71" s="23"/>
    </row>
    <row r="72" spans="1:7" ht="6" hidden="1" customHeight="1" x14ac:dyDescent="0.2">
      <c r="G72" s="24"/>
    </row>
    <row r="73" spans="1:7" ht="13.5" hidden="1" customHeight="1" x14ac:dyDescent="0.2">
      <c r="C73" s="293">
        <f>ROUND(((1000)*(E66*E69)*(((2*E71)*(E70^1.5))^0.5)),1)</f>
        <v>153</v>
      </c>
      <c r="D73" s="294"/>
      <c r="F73" s="28"/>
      <c r="G73" s="28"/>
    </row>
    <row r="74" spans="1:7" ht="16.5" hidden="1" customHeight="1" x14ac:dyDescent="0.2"/>
    <row r="75" spans="1:7" ht="30" hidden="1" customHeight="1" x14ac:dyDescent="0.2">
      <c r="A75" s="287" t="str">
        <f>+CONCATENATE("Del cálculo anterior se concluye entonces; que la tubería de aducción tiene una capacidad máxima de transportar un caudal de ",ROUND((C73),2)," L/s.")</f>
        <v>Del cálculo anterior se concluye entonces; que la tubería de aducción tiene una capacidad máxima de transportar un caudal de 153 L/s.</v>
      </c>
      <c r="B75" s="287"/>
      <c r="C75" s="287"/>
      <c r="D75" s="287"/>
      <c r="E75" s="287"/>
      <c r="F75" s="287"/>
      <c r="G75" s="287"/>
    </row>
    <row r="76" spans="1:7" hidden="1" x14ac:dyDescent="0.2">
      <c r="A76" s="39"/>
      <c r="B76" s="40"/>
      <c r="C76" s="40"/>
      <c r="D76" s="40"/>
      <c r="E76" s="40"/>
      <c r="F76" s="40"/>
      <c r="G76" s="40"/>
    </row>
    <row r="77" spans="1:7" ht="29.25" customHeight="1" x14ac:dyDescent="0.2">
      <c r="A77" s="14" t="s">
        <v>187</v>
      </c>
    </row>
    <row r="78" spans="1:7" ht="18.75" customHeight="1" x14ac:dyDescent="0.2">
      <c r="A78" s="287" t="s">
        <v>182</v>
      </c>
      <c r="B78" s="287"/>
      <c r="C78" s="287"/>
      <c r="D78" s="287"/>
      <c r="E78" s="287"/>
      <c r="F78" s="287"/>
      <c r="G78" s="287"/>
    </row>
    <row r="79" spans="1:7" ht="39.75" customHeight="1" x14ac:dyDescent="0.2">
      <c r="A79" s="287" t="s">
        <v>193</v>
      </c>
      <c r="B79" s="287"/>
      <c r="C79" s="287"/>
      <c r="D79" s="287"/>
      <c r="E79" s="287"/>
      <c r="F79" s="287"/>
      <c r="G79" s="287"/>
    </row>
    <row r="80" spans="1:7" ht="13.5" thickBot="1" x14ac:dyDescent="0.25">
      <c r="A80" s="295"/>
      <c r="B80" s="295"/>
      <c r="C80" s="295"/>
      <c r="D80" s="295"/>
      <c r="E80" s="295"/>
      <c r="F80" s="295"/>
      <c r="G80" s="295"/>
    </row>
    <row r="81" spans="1:8" ht="13.5" thickTop="1" x14ac:dyDescent="0.2">
      <c r="B81" s="296" t="s">
        <v>151</v>
      </c>
      <c r="C81" s="297"/>
      <c r="D81" s="41" t="s">
        <v>152</v>
      </c>
      <c r="E81" s="41" t="s">
        <v>153</v>
      </c>
      <c r="F81" s="42" t="s">
        <v>154</v>
      </c>
      <c r="G81" s="28"/>
    </row>
    <row r="82" spans="1:8" x14ac:dyDescent="0.2">
      <c r="B82" s="298" t="s">
        <v>156</v>
      </c>
      <c r="C82" s="299"/>
      <c r="D82" s="43"/>
      <c r="E82" s="43"/>
      <c r="F82" s="44"/>
      <c r="G82" s="24"/>
    </row>
    <row r="83" spans="1:8" x14ac:dyDescent="0.2">
      <c r="B83" s="298" t="s">
        <v>157</v>
      </c>
      <c r="C83" s="299"/>
      <c r="D83" s="43"/>
      <c r="E83" s="43"/>
      <c r="F83" s="44"/>
      <c r="G83" s="24"/>
    </row>
    <row r="84" spans="1:8" x14ac:dyDescent="0.2">
      <c r="B84" s="298" t="s">
        <v>158</v>
      </c>
      <c r="C84" s="299"/>
      <c r="D84" s="43"/>
      <c r="E84" s="43"/>
      <c r="F84" s="44"/>
      <c r="G84" s="24"/>
    </row>
    <row r="85" spans="1:8" ht="13.5" thickBot="1" x14ac:dyDescent="0.25">
      <c r="B85" s="300" t="s">
        <v>159</v>
      </c>
      <c r="C85" s="301"/>
      <c r="D85" s="45"/>
      <c r="E85" s="45"/>
      <c r="F85" s="46"/>
      <c r="G85" s="23"/>
      <c r="H85" s="24"/>
    </row>
    <row r="86" spans="1:8" ht="13.5" thickTop="1" x14ac:dyDescent="0.2">
      <c r="B86" s="24"/>
      <c r="D86" s="20"/>
      <c r="E86" s="23"/>
      <c r="G86" s="23"/>
    </row>
    <row r="87" spans="1:8" ht="9.9499999999999993" customHeight="1" x14ac:dyDescent="0.2">
      <c r="G87" s="24"/>
    </row>
    <row r="88" spans="1:8" x14ac:dyDescent="0.2">
      <c r="C88" s="292"/>
      <c r="D88" s="292"/>
      <c r="F88" s="28"/>
      <c r="G88" s="28"/>
    </row>
    <row r="89" spans="1:8" ht="9.9499999999999993" customHeight="1" x14ac:dyDescent="0.2"/>
    <row r="90" spans="1:8" ht="30" customHeight="1" x14ac:dyDescent="0.2">
      <c r="A90" s="291"/>
      <c r="B90" s="291"/>
      <c r="C90" s="291"/>
      <c r="D90" s="291"/>
      <c r="E90" s="291"/>
      <c r="F90" s="291"/>
      <c r="G90" s="291"/>
    </row>
  </sheetData>
  <mergeCells count="36">
    <mergeCell ref="A19:D19"/>
    <mergeCell ref="A10:G10"/>
    <mergeCell ref="A6:B6"/>
    <mergeCell ref="A15:G15"/>
    <mergeCell ref="A37:G37"/>
    <mergeCell ref="A31:G31"/>
    <mergeCell ref="A4:G4"/>
    <mergeCell ref="A12:G12"/>
    <mergeCell ref="A14:G14"/>
    <mergeCell ref="A7:G7"/>
    <mergeCell ref="A8:G8"/>
    <mergeCell ref="A90:G90"/>
    <mergeCell ref="C88:D88"/>
    <mergeCell ref="A62:G62"/>
    <mergeCell ref="C73:D73"/>
    <mergeCell ref="A75:G75"/>
    <mergeCell ref="A80:G80"/>
    <mergeCell ref="B81:C81"/>
    <mergeCell ref="B82:C82"/>
    <mergeCell ref="B83:C83"/>
    <mergeCell ref="A79:G79"/>
    <mergeCell ref="B85:C85"/>
    <mergeCell ref="B84:C84"/>
    <mergeCell ref="A57:G57"/>
    <mergeCell ref="A60:G60"/>
    <mergeCell ref="A53:G53"/>
    <mergeCell ref="A78:G78"/>
    <mergeCell ref="A35:G35"/>
    <mergeCell ref="A36:G36"/>
    <mergeCell ref="A43:G43"/>
    <mergeCell ref="A50:G50"/>
    <mergeCell ref="A49:C49"/>
    <mergeCell ref="A44:G44"/>
    <mergeCell ref="A45:G45"/>
    <mergeCell ref="A47:C47"/>
    <mergeCell ref="A48:C48"/>
  </mergeCells>
  <phoneticPr fontId="0" type="noConversion"/>
  <printOptions horizontalCentered="1"/>
  <pageMargins left="0.75" right="0.75" top="0.59055118110236227" bottom="0.39370078740157483" header="0" footer="0.39370078740157483"/>
  <pageSetup orientation="portrait" horizontalDpi="300" verticalDpi="300" r:id="rId1"/>
  <headerFooter alignWithMargins="0">
    <oddFooter>&amp;C&amp;9&amp;P/&amp;N&amp;R&amp;8&amp;F</oddFooter>
  </headerFooter>
  <rowBreaks count="1" manualBreakCount="1">
    <brk id="35"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2"/>
  <sheetViews>
    <sheetView workbookViewId="0">
      <selection activeCell="G31" sqref="G31"/>
    </sheetView>
  </sheetViews>
  <sheetFormatPr baseColWidth="10" defaultRowHeight="12.75" x14ac:dyDescent="0.2"/>
  <cols>
    <col min="1" max="1" width="20.140625" style="176" customWidth="1"/>
    <col min="2" max="2" width="14.140625" style="176" customWidth="1"/>
    <col min="3" max="3" width="13.140625" style="176" customWidth="1"/>
    <col min="4" max="4" width="18.140625" style="176" customWidth="1"/>
    <col min="5" max="5" width="9.28515625" style="176" customWidth="1"/>
    <col min="6" max="6" width="9.42578125" style="176" customWidth="1"/>
    <col min="7" max="7" width="10.7109375" style="176" customWidth="1"/>
    <col min="8" max="8" width="21.42578125" style="176" customWidth="1"/>
    <col min="9" max="9" width="12.5703125" style="176" customWidth="1"/>
    <col min="10" max="10" width="11.85546875" style="176" customWidth="1"/>
    <col min="11" max="11" width="13.28515625" style="177" customWidth="1"/>
    <col min="12" max="256" width="11.42578125" style="176"/>
    <col min="257" max="257" width="20.140625" style="176" customWidth="1"/>
    <col min="258" max="258" width="11" style="176" customWidth="1"/>
    <col min="259" max="259" width="13.140625" style="176" customWidth="1"/>
    <col min="260" max="260" width="18.140625" style="176" customWidth="1"/>
    <col min="261" max="261" width="9.28515625" style="176" customWidth="1"/>
    <col min="262" max="262" width="9.42578125" style="176" customWidth="1"/>
    <col min="263" max="263" width="10.7109375" style="176" customWidth="1"/>
    <col min="264" max="264" width="21.42578125" style="176" customWidth="1"/>
    <col min="265" max="265" width="12.5703125" style="176" customWidth="1"/>
    <col min="266" max="266" width="11.85546875" style="176" customWidth="1"/>
    <col min="267" max="267" width="13.28515625" style="176" customWidth="1"/>
    <col min="268" max="512" width="11.42578125" style="176"/>
    <col min="513" max="513" width="20.140625" style="176" customWidth="1"/>
    <col min="514" max="514" width="11" style="176" customWidth="1"/>
    <col min="515" max="515" width="13.140625" style="176" customWidth="1"/>
    <col min="516" max="516" width="18.140625" style="176" customWidth="1"/>
    <col min="517" max="517" width="9.28515625" style="176" customWidth="1"/>
    <col min="518" max="518" width="9.42578125" style="176" customWidth="1"/>
    <col min="519" max="519" width="10.7109375" style="176" customWidth="1"/>
    <col min="520" max="520" width="21.42578125" style="176" customWidth="1"/>
    <col min="521" max="521" width="12.5703125" style="176" customWidth="1"/>
    <col min="522" max="522" width="11.85546875" style="176" customWidth="1"/>
    <col min="523" max="523" width="13.28515625" style="176" customWidth="1"/>
    <col min="524" max="768" width="11.42578125" style="176"/>
    <col min="769" max="769" width="20.140625" style="176" customWidth="1"/>
    <col min="770" max="770" width="11" style="176" customWidth="1"/>
    <col min="771" max="771" width="13.140625" style="176" customWidth="1"/>
    <col min="772" max="772" width="18.140625" style="176" customWidth="1"/>
    <col min="773" max="773" width="9.28515625" style="176" customWidth="1"/>
    <col min="774" max="774" width="9.42578125" style="176" customWidth="1"/>
    <col min="775" max="775" width="10.7109375" style="176" customWidth="1"/>
    <col min="776" max="776" width="21.42578125" style="176" customWidth="1"/>
    <col min="777" max="777" width="12.5703125" style="176" customWidth="1"/>
    <col min="778" max="778" width="11.85546875" style="176" customWidth="1"/>
    <col min="779" max="779" width="13.28515625" style="176" customWidth="1"/>
    <col min="780" max="1024" width="11.42578125" style="176"/>
    <col min="1025" max="1025" width="20.140625" style="176" customWidth="1"/>
    <col min="1026" max="1026" width="11" style="176" customWidth="1"/>
    <col min="1027" max="1027" width="13.140625" style="176" customWidth="1"/>
    <col min="1028" max="1028" width="18.140625" style="176" customWidth="1"/>
    <col min="1029" max="1029" width="9.28515625" style="176" customWidth="1"/>
    <col min="1030" max="1030" width="9.42578125" style="176" customWidth="1"/>
    <col min="1031" max="1031" width="10.7109375" style="176" customWidth="1"/>
    <col min="1032" max="1032" width="21.42578125" style="176" customWidth="1"/>
    <col min="1033" max="1033" width="12.5703125" style="176" customWidth="1"/>
    <col min="1034" max="1034" width="11.85546875" style="176" customWidth="1"/>
    <col min="1035" max="1035" width="13.28515625" style="176" customWidth="1"/>
    <col min="1036" max="1280" width="11.42578125" style="176"/>
    <col min="1281" max="1281" width="20.140625" style="176" customWidth="1"/>
    <col min="1282" max="1282" width="11" style="176" customWidth="1"/>
    <col min="1283" max="1283" width="13.140625" style="176" customWidth="1"/>
    <col min="1284" max="1284" width="18.140625" style="176" customWidth="1"/>
    <col min="1285" max="1285" width="9.28515625" style="176" customWidth="1"/>
    <col min="1286" max="1286" width="9.42578125" style="176" customWidth="1"/>
    <col min="1287" max="1287" width="10.7109375" style="176" customWidth="1"/>
    <col min="1288" max="1288" width="21.42578125" style="176" customWidth="1"/>
    <col min="1289" max="1289" width="12.5703125" style="176" customWidth="1"/>
    <col min="1290" max="1290" width="11.85546875" style="176" customWidth="1"/>
    <col min="1291" max="1291" width="13.28515625" style="176" customWidth="1"/>
    <col min="1292" max="1536" width="11.42578125" style="176"/>
    <col min="1537" max="1537" width="20.140625" style="176" customWidth="1"/>
    <col min="1538" max="1538" width="11" style="176" customWidth="1"/>
    <col min="1539" max="1539" width="13.140625" style="176" customWidth="1"/>
    <col min="1540" max="1540" width="18.140625" style="176" customWidth="1"/>
    <col min="1541" max="1541" width="9.28515625" style="176" customWidth="1"/>
    <col min="1542" max="1542" width="9.42578125" style="176" customWidth="1"/>
    <col min="1543" max="1543" width="10.7109375" style="176" customWidth="1"/>
    <col min="1544" max="1544" width="21.42578125" style="176" customWidth="1"/>
    <col min="1545" max="1545" width="12.5703125" style="176" customWidth="1"/>
    <col min="1546" max="1546" width="11.85546875" style="176" customWidth="1"/>
    <col min="1547" max="1547" width="13.28515625" style="176" customWidth="1"/>
    <col min="1548" max="1792" width="11.42578125" style="176"/>
    <col min="1793" max="1793" width="20.140625" style="176" customWidth="1"/>
    <col min="1794" max="1794" width="11" style="176" customWidth="1"/>
    <col min="1795" max="1795" width="13.140625" style="176" customWidth="1"/>
    <col min="1796" max="1796" width="18.140625" style="176" customWidth="1"/>
    <col min="1797" max="1797" width="9.28515625" style="176" customWidth="1"/>
    <col min="1798" max="1798" width="9.42578125" style="176" customWidth="1"/>
    <col min="1799" max="1799" width="10.7109375" style="176" customWidth="1"/>
    <col min="1800" max="1800" width="21.42578125" style="176" customWidth="1"/>
    <col min="1801" max="1801" width="12.5703125" style="176" customWidth="1"/>
    <col min="1802" max="1802" width="11.85546875" style="176" customWidth="1"/>
    <col min="1803" max="1803" width="13.28515625" style="176" customWidth="1"/>
    <col min="1804" max="2048" width="11.42578125" style="176"/>
    <col min="2049" max="2049" width="20.140625" style="176" customWidth="1"/>
    <col min="2050" max="2050" width="11" style="176" customWidth="1"/>
    <col min="2051" max="2051" width="13.140625" style="176" customWidth="1"/>
    <col min="2052" max="2052" width="18.140625" style="176" customWidth="1"/>
    <col min="2053" max="2053" width="9.28515625" style="176" customWidth="1"/>
    <col min="2054" max="2054" width="9.42578125" style="176" customWidth="1"/>
    <col min="2055" max="2055" width="10.7109375" style="176" customWidth="1"/>
    <col min="2056" max="2056" width="21.42578125" style="176" customWidth="1"/>
    <col min="2057" max="2057" width="12.5703125" style="176" customWidth="1"/>
    <col min="2058" max="2058" width="11.85546875" style="176" customWidth="1"/>
    <col min="2059" max="2059" width="13.28515625" style="176" customWidth="1"/>
    <col min="2060" max="2304" width="11.42578125" style="176"/>
    <col min="2305" max="2305" width="20.140625" style="176" customWidth="1"/>
    <col min="2306" max="2306" width="11" style="176" customWidth="1"/>
    <col min="2307" max="2307" width="13.140625" style="176" customWidth="1"/>
    <col min="2308" max="2308" width="18.140625" style="176" customWidth="1"/>
    <col min="2309" max="2309" width="9.28515625" style="176" customWidth="1"/>
    <col min="2310" max="2310" width="9.42578125" style="176" customWidth="1"/>
    <col min="2311" max="2311" width="10.7109375" style="176" customWidth="1"/>
    <col min="2312" max="2312" width="21.42578125" style="176" customWidth="1"/>
    <col min="2313" max="2313" width="12.5703125" style="176" customWidth="1"/>
    <col min="2314" max="2314" width="11.85546875" style="176" customWidth="1"/>
    <col min="2315" max="2315" width="13.28515625" style="176" customWidth="1"/>
    <col min="2316" max="2560" width="11.42578125" style="176"/>
    <col min="2561" max="2561" width="20.140625" style="176" customWidth="1"/>
    <col min="2562" max="2562" width="11" style="176" customWidth="1"/>
    <col min="2563" max="2563" width="13.140625" style="176" customWidth="1"/>
    <col min="2564" max="2564" width="18.140625" style="176" customWidth="1"/>
    <col min="2565" max="2565" width="9.28515625" style="176" customWidth="1"/>
    <col min="2566" max="2566" width="9.42578125" style="176" customWidth="1"/>
    <col min="2567" max="2567" width="10.7109375" style="176" customWidth="1"/>
    <col min="2568" max="2568" width="21.42578125" style="176" customWidth="1"/>
    <col min="2569" max="2569" width="12.5703125" style="176" customWidth="1"/>
    <col min="2570" max="2570" width="11.85546875" style="176" customWidth="1"/>
    <col min="2571" max="2571" width="13.28515625" style="176" customWidth="1"/>
    <col min="2572" max="2816" width="11.42578125" style="176"/>
    <col min="2817" max="2817" width="20.140625" style="176" customWidth="1"/>
    <col min="2818" max="2818" width="11" style="176" customWidth="1"/>
    <col min="2819" max="2819" width="13.140625" style="176" customWidth="1"/>
    <col min="2820" max="2820" width="18.140625" style="176" customWidth="1"/>
    <col min="2821" max="2821" width="9.28515625" style="176" customWidth="1"/>
    <col min="2822" max="2822" width="9.42578125" style="176" customWidth="1"/>
    <col min="2823" max="2823" width="10.7109375" style="176" customWidth="1"/>
    <col min="2824" max="2824" width="21.42578125" style="176" customWidth="1"/>
    <col min="2825" max="2825" width="12.5703125" style="176" customWidth="1"/>
    <col min="2826" max="2826" width="11.85546875" style="176" customWidth="1"/>
    <col min="2827" max="2827" width="13.28515625" style="176" customWidth="1"/>
    <col min="2828" max="3072" width="11.42578125" style="176"/>
    <col min="3073" max="3073" width="20.140625" style="176" customWidth="1"/>
    <col min="3074" max="3074" width="11" style="176" customWidth="1"/>
    <col min="3075" max="3075" width="13.140625" style="176" customWidth="1"/>
    <col min="3076" max="3076" width="18.140625" style="176" customWidth="1"/>
    <col min="3077" max="3077" width="9.28515625" style="176" customWidth="1"/>
    <col min="3078" max="3078" width="9.42578125" style="176" customWidth="1"/>
    <col min="3079" max="3079" width="10.7109375" style="176" customWidth="1"/>
    <col min="3080" max="3080" width="21.42578125" style="176" customWidth="1"/>
    <col min="3081" max="3081" width="12.5703125" style="176" customWidth="1"/>
    <col min="3082" max="3082" width="11.85546875" style="176" customWidth="1"/>
    <col min="3083" max="3083" width="13.28515625" style="176" customWidth="1"/>
    <col min="3084" max="3328" width="11.42578125" style="176"/>
    <col min="3329" max="3329" width="20.140625" style="176" customWidth="1"/>
    <col min="3330" max="3330" width="11" style="176" customWidth="1"/>
    <col min="3331" max="3331" width="13.140625" style="176" customWidth="1"/>
    <col min="3332" max="3332" width="18.140625" style="176" customWidth="1"/>
    <col min="3333" max="3333" width="9.28515625" style="176" customWidth="1"/>
    <col min="3334" max="3334" width="9.42578125" style="176" customWidth="1"/>
    <col min="3335" max="3335" width="10.7109375" style="176" customWidth="1"/>
    <col min="3336" max="3336" width="21.42578125" style="176" customWidth="1"/>
    <col min="3337" max="3337" width="12.5703125" style="176" customWidth="1"/>
    <col min="3338" max="3338" width="11.85546875" style="176" customWidth="1"/>
    <col min="3339" max="3339" width="13.28515625" style="176" customWidth="1"/>
    <col min="3340" max="3584" width="11.42578125" style="176"/>
    <col min="3585" max="3585" width="20.140625" style="176" customWidth="1"/>
    <col min="3586" max="3586" width="11" style="176" customWidth="1"/>
    <col min="3587" max="3587" width="13.140625" style="176" customWidth="1"/>
    <col min="3588" max="3588" width="18.140625" style="176" customWidth="1"/>
    <col min="3589" max="3589" width="9.28515625" style="176" customWidth="1"/>
    <col min="3590" max="3590" width="9.42578125" style="176" customWidth="1"/>
    <col min="3591" max="3591" width="10.7109375" style="176" customWidth="1"/>
    <col min="3592" max="3592" width="21.42578125" style="176" customWidth="1"/>
    <col min="3593" max="3593" width="12.5703125" style="176" customWidth="1"/>
    <col min="3594" max="3594" width="11.85546875" style="176" customWidth="1"/>
    <col min="3595" max="3595" width="13.28515625" style="176" customWidth="1"/>
    <col min="3596" max="3840" width="11.42578125" style="176"/>
    <col min="3841" max="3841" width="20.140625" style="176" customWidth="1"/>
    <col min="3842" max="3842" width="11" style="176" customWidth="1"/>
    <col min="3843" max="3843" width="13.140625" style="176" customWidth="1"/>
    <col min="3844" max="3844" width="18.140625" style="176" customWidth="1"/>
    <col min="3845" max="3845" width="9.28515625" style="176" customWidth="1"/>
    <col min="3846" max="3846" width="9.42578125" style="176" customWidth="1"/>
    <col min="3847" max="3847" width="10.7109375" style="176" customWidth="1"/>
    <col min="3848" max="3848" width="21.42578125" style="176" customWidth="1"/>
    <col min="3849" max="3849" width="12.5703125" style="176" customWidth="1"/>
    <col min="3850" max="3850" width="11.85546875" style="176" customWidth="1"/>
    <col min="3851" max="3851" width="13.28515625" style="176" customWidth="1"/>
    <col min="3852" max="4096" width="11.42578125" style="176"/>
    <col min="4097" max="4097" width="20.140625" style="176" customWidth="1"/>
    <col min="4098" max="4098" width="11" style="176" customWidth="1"/>
    <col min="4099" max="4099" width="13.140625" style="176" customWidth="1"/>
    <col min="4100" max="4100" width="18.140625" style="176" customWidth="1"/>
    <col min="4101" max="4101" width="9.28515625" style="176" customWidth="1"/>
    <col min="4102" max="4102" width="9.42578125" style="176" customWidth="1"/>
    <col min="4103" max="4103" width="10.7109375" style="176" customWidth="1"/>
    <col min="4104" max="4104" width="21.42578125" style="176" customWidth="1"/>
    <col min="4105" max="4105" width="12.5703125" style="176" customWidth="1"/>
    <col min="4106" max="4106" width="11.85546875" style="176" customWidth="1"/>
    <col min="4107" max="4107" width="13.28515625" style="176" customWidth="1"/>
    <col min="4108" max="4352" width="11.42578125" style="176"/>
    <col min="4353" max="4353" width="20.140625" style="176" customWidth="1"/>
    <col min="4354" max="4354" width="11" style="176" customWidth="1"/>
    <col min="4355" max="4355" width="13.140625" style="176" customWidth="1"/>
    <col min="4356" max="4356" width="18.140625" style="176" customWidth="1"/>
    <col min="4357" max="4357" width="9.28515625" style="176" customWidth="1"/>
    <col min="4358" max="4358" width="9.42578125" style="176" customWidth="1"/>
    <col min="4359" max="4359" width="10.7109375" style="176" customWidth="1"/>
    <col min="4360" max="4360" width="21.42578125" style="176" customWidth="1"/>
    <col min="4361" max="4361" width="12.5703125" style="176" customWidth="1"/>
    <col min="4362" max="4362" width="11.85546875" style="176" customWidth="1"/>
    <col min="4363" max="4363" width="13.28515625" style="176" customWidth="1"/>
    <col min="4364" max="4608" width="11.42578125" style="176"/>
    <col min="4609" max="4609" width="20.140625" style="176" customWidth="1"/>
    <col min="4610" max="4610" width="11" style="176" customWidth="1"/>
    <col min="4611" max="4611" width="13.140625" style="176" customWidth="1"/>
    <col min="4612" max="4612" width="18.140625" style="176" customWidth="1"/>
    <col min="4613" max="4613" width="9.28515625" style="176" customWidth="1"/>
    <col min="4614" max="4614" width="9.42578125" style="176" customWidth="1"/>
    <col min="4615" max="4615" width="10.7109375" style="176" customWidth="1"/>
    <col min="4616" max="4616" width="21.42578125" style="176" customWidth="1"/>
    <col min="4617" max="4617" width="12.5703125" style="176" customWidth="1"/>
    <col min="4618" max="4618" width="11.85546875" style="176" customWidth="1"/>
    <col min="4619" max="4619" width="13.28515625" style="176" customWidth="1"/>
    <col min="4620" max="4864" width="11.42578125" style="176"/>
    <col min="4865" max="4865" width="20.140625" style="176" customWidth="1"/>
    <col min="4866" max="4866" width="11" style="176" customWidth="1"/>
    <col min="4867" max="4867" width="13.140625" style="176" customWidth="1"/>
    <col min="4868" max="4868" width="18.140625" style="176" customWidth="1"/>
    <col min="4869" max="4869" width="9.28515625" style="176" customWidth="1"/>
    <col min="4870" max="4870" width="9.42578125" style="176" customWidth="1"/>
    <col min="4871" max="4871" width="10.7109375" style="176" customWidth="1"/>
    <col min="4872" max="4872" width="21.42578125" style="176" customWidth="1"/>
    <col min="4873" max="4873" width="12.5703125" style="176" customWidth="1"/>
    <col min="4874" max="4874" width="11.85546875" style="176" customWidth="1"/>
    <col min="4875" max="4875" width="13.28515625" style="176" customWidth="1"/>
    <col min="4876" max="5120" width="11.42578125" style="176"/>
    <col min="5121" max="5121" width="20.140625" style="176" customWidth="1"/>
    <col min="5122" max="5122" width="11" style="176" customWidth="1"/>
    <col min="5123" max="5123" width="13.140625" style="176" customWidth="1"/>
    <col min="5124" max="5124" width="18.140625" style="176" customWidth="1"/>
    <col min="5125" max="5125" width="9.28515625" style="176" customWidth="1"/>
    <col min="5126" max="5126" width="9.42578125" style="176" customWidth="1"/>
    <col min="5127" max="5127" width="10.7109375" style="176" customWidth="1"/>
    <col min="5128" max="5128" width="21.42578125" style="176" customWidth="1"/>
    <col min="5129" max="5129" width="12.5703125" style="176" customWidth="1"/>
    <col min="5130" max="5130" width="11.85546875" style="176" customWidth="1"/>
    <col min="5131" max="5131" width="13.28515625" style="176" customWidth="1"/>
    <col min="5132" max="5376" width="11.42578125" style="176"/>
    <col min="5377" max="5377" width="20.140625" style="176" customWidth="1"/>
    <col min="5378" max="5378" width="11" style="176" customWidth="1"/>
    <col min="5379" max="5379" width="13.140625" style="176" customWidth="1"/>
    <col min="5380" max="5380" width="18.140625" style="176" customWidth="1"/>
    <col min="5381" max="5381" width="9.28515625" style="176" customWidth="1"/>
    <col min="5382" max="5382" width="9.42578125" style="176" customWidth="1"/>
    <col min="5383" max="5383" width="10.7109375" style="176" customWidth="1"/>
    <col min="5384" max="5384" width="21.42578125" style="176" customWidth="1"/>
    <col min="5385" max="5385" width="12.5703125" style="176" customWidth="1"/>
    <col min="5386" max="5386" width="11.85546875" style="176" customWidth="1"/>
    <col min="5387" max="5387" width="13.28515625" style="176" customWidth="1"/>
    <col min="5388" max="5632" width="11.42578125" style="176"/>
    <col min="5633" max="5633" width="20.140625" style="176" customWidth="1"/>
    <col min="5634" max="5634" width="11" style="176" customWidth="1"/>
    <col min="5635" max="5635" width="13.140625" style="176" customWidth="1"/>
    <col min="5636" max="5636" width="18.140625" style="176" customWidth="1"/>
    <col min="5637" max="5637" width="9.28515625" style="176" customWidth="1"/>
    <col min="5638" max="5638" width="9.42578125" style="176" customWidth="1"/>
    <col min="5639" max="5639" width="10.7109375" style="176" customWidth="1"/>
    <col min="5640" max="5640" width="21.42578125" style="176" customWidth="1"/>
    <col min="5641" max="5641" width="12.5703125" style="176" customWidth="1"/>
    <col min="5642" max="5642" width="11.85546875" style="176" customWidth="1"/>
    <col min="5643" max="5643" width="13.28515625" style="176" customWidth="1"/>
    <col min="5644" max="5888" width="11.42578125" style="176"/>
    <col min="5889" max="5889" width="20.140625" style="176" customWidth="1"/>
    <col min="5890" max="5890" width="11" style="176" customWidth="1"/>
    <col min="5891" max="5891" width="13.140625" style="176" customWidth="1"/>
    <col min="5892" max="5892" width="18.140625" style="176" customWidth="1"/>
    <col min="5893" max="5893" width="9.28515625" style="176" customWidth="1"/>
    <col min="5894" max="5894" width="9.42578125" style="176" customWidth="1"/>
    <col min="5895" max="5895" width="10.7109375" style="176" customWidth="1"/>
    <col min="5896" max="5896" width="21.42578125" style="176" customWidth="1"/>
    <col min="5897" max="5897" width="12.5703125" style="176" customWidth="1"/>
    <col min="5898" max="5898" width="11.85546875" style="176" customWidth="1"/>
    <col min="5899" max="5899" width="13.28515625" style="176" customWidth="1"/>
    <col min="5900" max="6144" width="11.42578125" style="176"/>
    <col min="6145" max="6145" width="20.140625" style="176" customWidth="1"/>
    <col min="6146" max="6146" width="11" style="176" customWidth="1"/>
    <col min="6147" max="6147" width="13.140625" style="176" customWidth="1"/>
    <col min="6148" max="6148" width="18.140625" style="176" customWidth="1"/>
    <col min="6149" max="6149" width="9.28515625" style="176" customWidth="1"/>
    <col min="6150" max="6150" width="9.42578125" style="176" customWidth="1"/>
    <col min="6151" max="6151" width="10.7109375" style="176" customWidth="1"/>
    <col min="6152" max="6152" width="21.42578125" style="176" customWidth="1"/>
    <col min="6153" max="6153" width="12.5703125" style="176" customWidth="1"/>
    <col min="6154" max="6154" width="11.85546875" style="176" customWidth="1"/>
    <col min="6155" max="6155" width="13.28515625" style="176" customWidth="1"/>
    <col min="6156" max="6400" width="11.42578125" style="176"/>
    <col min="6401" max="6401" width="20.140625" style="176" customWidth="1"/>
    <col min="6402" max="6402" width="11" style="176" customWidth="1"/>
    <col min="6403" max="6403" width="13.140625" style="176" customWidth="1"/>
    <col min="6404" max="6404" width="18.140625" style="176" customWidth="1"/>
    <col min="6405" max="6405" width="9.28515625" style="176" customWidth="1"/>
    <col min="6406" max="6406" width="9.42578125" style="176" customWidth="1"/>
    <col min="6407" max="6407" width="10.7109375" style="176" customWidth="1"/>
    <col min="6408" max="6408" width="21.42578125" style="176" customWidth="1"/>
    <col min="6409" max="6409" width="12.5703125" style="176" customWidth="1"/>
    <col min="6410" max="6410" width="11.85546875" style="176" customWidth="1"/>
    <col min="6411" max="6411" width="13.28515625" style="176" customWidth="1"/>
    <col min="6412" max="6656" width="11.42578125" style="176"/>
    <col min="6657" max="6657" width="20.140625" style="176" customWidth="1"/>
    <col min="6658" max="6658" width="11" style="176" customWidth="1"/>
    <col min="6659" max="6659" width="13.140625" style="176" customWidth="1"/>
    <col min="6660" max="6660" width="18.140625" style="176" customWidth="1"/>
    <col min="6661" max="6661" width="9.28515625" style="176" customWidth="1"/>
    <col min="6662" max="6662" width="9.42578125" style="176" customWidth="1"/>
    <col min="6663" max="6663" width="10.7109375" style="176" customWidth="1"/>
    <col min="6664" max="6664" width="21.42578125" style="176" customWidth="1"/>
    <col min="6665" max="6665" width="12.5703125" style="176" customWidth="1"/>
    <col min="6666" max="6666" width="11.85546875" style="176" customWidth="1"/>
    <col min="6667" max="6667" width="13.28515625" style="176" customWidth="1"/>
    <col min="6668" max="6912" width="11.42578125" style="176"/>
    <col min="6913" max="6913" width="20.140625" style="176" customWidth="1"/>
    <col min="6914" max="6914" width="11" style="176" customWidth="1"/>
    <col min="6915" max="6915" width="13.140625" style="176" customWidth="1"/>
    <col min="6916" max="6916" width="18.140625" style="176" customWidth="1"/>
    <col min="6917" max="6917" width="9.28515625" style="176" customWidth="1"/>
    <col min="6918" max="6918" width="9.42578125" style="176" customWidth="1"/>
    <col min="6919" max="6919" width="10.7109375" style="176" customWidth="1"/>
    <col min="6920" max="6920" width="21.42578125" style="176" customWidth="1"/>
    <col min="6921" max="6921" width="12.5703125" style="176" customWidth="1"/>
    <col min="6922" max="6922" width="11.85546875" style="176" customWidth="1"/>
    <col min="6923" max="6923" width="13.28515625" style="176" customWidth="1"/>
    <col min="6924" max="7168" width="11.42578125" style="176"/>
    <col min="7169" max="7169" width="20.140625" style="176" customWidth="1"/>
    <col min="7170" max="7170" width="11" style="176" customWidth="1"/>
    <col min="7171" max="7171" width="13.140625" style="176" customWidth="1"/>
    <col min="7172" max="7172" width="18.140625" style="176" customWidth="1"/>
    <col min="7173" max="7173" width="9.28515625" style="176" customWidth="1"/>
    <col min="7174" max="7174" width="9.42578125" style="176" customWidth="1"/>
    <col min="7175" max="7175" width="10.7109375" style="176" customWidth="1"/>
    <col min="7176" max="7176" width="21.42578125" style="176" customWidth="1"/>
    <col min="7177" max="7177" width="12.5703125" style="176" customWidth="1"/>
    <col min="7178" max="7178" width="11.85546875" style="176" customWidth="1"/>
    <col min="7179" max="7179" width="13.28515625" style="176" customWidth="1"/>
    <col min="7180" max="7424" width="11.42578125" style="176"/>
    <col min="7425" max="7425" width="20.140625" style="176" customWidth="1"/>
    <col min="7426" max="7426" width="11" style="176" customWidth="1"/>
    <col min="7427" max="7427" width="13.140625" style="176" customWidth="1"/>
    <col min="7428" max="7428" width="18.140625" style="176" customWidth="1"/>
    <col min="7429" max="7429" width="9.28515625" style="176" customWidth="1"/>
    <col min="7430" max="7430" width="9.42578125" style="176" customWidth="1"/>
    <col min="7431" max="7431" width="10.7109375" style="176" customWidth="1"/>
    <col min="7432" max="7432" width="21.42578125" style="176" customWidth="1"/>
    <col min="7433" max="7433" width="12.5703125" style="176" customWidth="1"/>
    <col min="7434" max="7434" width="11.85546875" style="176" customWidth="1"/>
    <col min="7435" max="7435" width="13.28515625" style="176" customWidth="1"/>
    <col min="7436" max="7680" width="11.42578125" style="176"/>
    <col min="7681" max="7681" width="20.140625" style="176" customWidth="1"/>
    <col min="7682" max="7682" width="11" style="176" customWidth="1"/>
    <col min="7683" max="7683" width="13.140625" style="176" customWidth="1"/>
    <col min="7684" max="7684" width="18.140625" style="176" customWidth="1"/>
    <col min="7685" max="7685" width="9.28515625" style="176" customWidth="1"/>
    <col min="7686" max="7686" width="9.42578125" style="176" customWidth="1"/>
    <col min="7687" max="7687" width="10.7109375" style="176" customWidth="1"/>
    <col min="7688" max="7688" width="21.42578125" style="176" customWidth="1"/>
    <col min="7689" max="7689" width="12.5703125" style="176" customWidth="1"/>
    <col min="7690" max="7690" width="11.85546875" style="176" customWidth="1"/>
    <col min="7691" max="7691" width="13.28515625" style="176" customWidth="1"/>
    <col min="7692" max="7936" width="11.42578125" style="176"/>
    <col min="7937" max="7937" width="20.140625" style="176" customWidth="1"/>
    <col min="7938" max="7938" width="11" style="176" customWidth="1"/>
    <col min="7939" max="7939" width="13.140625" style="176" customWidth="1"/>
    <col min="7940" max="7940" width="18.140625" style="176" customWidth="1"/>
    <col min="7941" max="7941" width="9.28515625" style="176" customWidth="1"/>
    <col min="7942" max="7942" width="9.42578125" style="176" customWidth="1"/>
    <col min="7943" max="7943" width="10.7109375" style="176" customWidth="1"/>
    <col min="7944" max="7944" width="21.42578125" style="176" customWidth="1"/>
    <col min="7945" max="7945" width="12.5703125" style="176" customWidth="1"/>
    <col min="7946" max="7946" width="11.85546875" style="176" customWidth="1"/>
    <col min="7947" max="7947" width="13.28515625" style="176" customWidth="1"/>
    <col min="7948" max="8192" width="11.42578125" style="176"/>
    <col min="8193" max="8193" width="20.140625" style="176" customWidth="1"/>
    <col min="8194" max="8194" width="11" style="176" customWidth="1"/>
    <col min="8195" max="8195" width="13.140625" style="176" customWidth="1"/>
    <col min="8196" max="8196" width="18.140625" style="176" customWidth="1"/>
    <col min="8197" max="8197" width="9.28515625" style="176" customWidth="1"/>
    <col min="8198" max="8198" width="9.42578125" style="176" customWidth="1"/>
    <col min="8199" max="8199" width="10.7109375" style="176" customWidth="1"/>
    <col min="8200" max="8200" width="21.42578125" style="176" customWidth="1"/>
    <col min="8201" max="8201" width="12.5703125" style="176" customWidth="1"/>
    <col min="8202" max="8202" width="11.85546875" style="176" customWidth="1"/>
    <col min="8203" max="8203" width="13.28515625" style="176" customWidth="1"/>
    <col min="8204" max="8448" width="11.42578125" style="176"/>
    <col min="8449" max="8449" width="20.140625" style="176" customWidth="1"/>
    <col min="8450" max="8450" width="11" style="176" customWidth="1"/>
    <col min="8451" max="8451" width="13.140625" style="176" customWidth="1"/>
    <col min="8452" max="8452" width="18.140625" style="176" customWidth="1"/>
    <col min="8453" max="8453" width="9.28515625" style="176" customWidth="1"/>
    <col min="8454" max="8454" width="9.42578125" style="176" customWidth="1"/>
    <col min="8455" max="8455" width="10.7109375" style="176" customWidth="1"/>
    <col min="8456" max="8456" width="21.42578125" style="176" customWidth="1"/>
    <col min="8457" max="8457" width="12.5703125" style="176" customWidth="1"/>
    <col min="8458" max="8458" width="11.85546875" style="176" customWidth="1"/>
    <col min="8459" max="8459" width="13.28515625" style="176" customWidth="1"/>
    <col min="8460" max="8704" width="11.42578125" style="176"/>
    <col min="8705" max="8705" width="20.140625" style="176" customWidth="1"/>
    <col min="8706" max="8706" width="11" style="176" customWidth="1"/>
    <col min="8707" max="8707" width="13.140625" style="176" customWidth="1"/>
    <col min="8708" max="8708" width="18.140625" style="176" customWidth="1"/>
    <col min="8709" max="8709" width="9.28515625" style="176" customWidth="1"/>
    <col min="8710" max="8710" width="9.42578125" style="176" customWidth="1"/>
    <col min="8711" max="8711" width="10.7109375" style="176" customWidth="1"/>
    <col min="8712" max="8712" width="21.42578125" style="176" customWidth="1"/>
    <col min="8713" max="8713" width="12.5703125" style="176" customWidth="1"/>
    <col min="8714" max="8714" width="11.85546875" style="176" customWidth="1"/>
    <col min="8715" max="8715" width="13.28515625" style="176" customWidth="1"/>
    <col min="8716" max="8960" width="11.42578125" style="176"/>
    <col min="8961" max="8961" width="20.140625" style="176" customWidth="1"/>
    <col min="8962" max="8962" width="11" style="176" customWidth="1"/>
    <col min="8963" max="8963" width="13.140625" style="176" customWidth="1"/>
    <col min="8964" max="8964" width="18.140625" style="176" customWidth="1"/>
    <col min="8965" max="8965" width="9.28515625" style="176" customWidth="1"/>
    <col min="8966" max="8966" width="9.42578125" style="176" customWidth="1"/>
    <col min="8967" max="8967" width="10.7109375" style="176" customWidth="1"/>
    <col min="8968" max="8968" width="21.42578125" style="176" customWidth="1"/>
    <col min="8969" max="8969" width="12.5703125" style="176" customWidth="1"/>
    <col min="8970" max="8970" width="11.85546875" style="176" customWidth="1"/>
    <col min="8971" max="8971" width="13.28515625" style="176" customWidth="1"/>
    <col min="8972" max="9216" width="11.42578125" style="176"/>
    <col min="9217" max="9217" width="20.140625" style="176" customWidth="1"/>
    <col min="9218" max="9218" width="11" style="176" customWidth="1"/>
    <col min="9219" max="9219" width="13.140625" style="176" customWidth="1"/>
    <col min="9220" max="9220" width="18.140625" style="176" customWidth="1"/>
    <col min="9221" max="9221" width="9.28515625" style="176" customWidth="1"/>
    <col min="9222" max="9222" width="9.42578125" style="176" customWidth="1"/>
    <col min="9223" max="9223" width="10.7109375" style="176" customWidth="1"/>
    <col min="9224" max="9224" width="21.42578125" style="176" customWidth="1"/>
    <col min="9225" max="9225" width="12.5703125" style="176" customWidth="1"/>
    <col min="9226" max="9226" width="11.85546875" style="176" customWidth="1"/>
    <col min="9227" max="9227" width="13.28515625" style="176" customWidth="1"/>
    <col min="9228" max="9472" width="11.42578125" style="176"/>
    <col min="9473" max="9473" width="20.140625" style="176" customWidth="1"/>
    <col min="9474" max="9474" width="11" style="176" customWidth="1"/>
    <col min="9475" max="9475" width="13.140625" style="176" customWidth="1"/>
    <col min="9476" max="9476" width="18.140625" style="176" customWidth="1"/>
    <col min="9477" max="9477" width="9.28515625" style="176" customWidth="1"/>
    <col min="9478" max="9478" width="9.42578125" style="176" customWidth="1"/>
    <col min="9479" max="9479" width="10.7109375" style="176" customWidth="1"/>
    <col min="9480" max="9480" width="21.42578125" style="176" customWidth="1"/>
    <col min="9481" max="9481" width="12.5703125" style="176" customWidth="1"/>
    <col min="9482" max="9482" width="11.85546875" style="176" customWidth="1"/>
    <col min="9483" max="9483" width="13.28515625" style="176" customWidth="1"/>
    <col min="9484" max="9728" width="11.42578125" style="176"/>
    <col min="9729" max="9729" width="20.140625" style="176" customWidth="1"/>
    <col min="9730" max="9730" width="11" style="176" customWidth="1"/>
    <col min="9731" max="9731" width="13.140625" style="176" customWidth="1"/>
    <col min="9732" max="9732" width="18.140625" style="176" customWidth="1"/>
    <col min="9733" max="9733" width="9.28515625" style="176" customWidth="1"/>
    <col min="9734" max="9734" width="9.42578125" style="176" customWidth="1"/>
    <col min="9735" max="9735" width="10.7109375" style="176" customWidth="1"/>
    <col min="9736" max="9736" width="21.42578125" style="176" customWidth="1"/>
    <col min="9737" max="9737" width="12.5703125" style="176" customWidth="1"/>
    <col min="9738" max="9738" width="11.85546875" style="176" customWidth="1"/>
    <col min="9739" max="9739" width="13.28515625" style="176" customWidth="1"/>
    <col min="9740" max="9984" width="11.42578125" style="176"/>
    <col min="9985" max="9985" width="20.140625" style="176" customWidth="1"/>
    <col min="9986" max="9986" width="11" style="176" customWidth="1"/>
    <col min="9987" max="9987" width="13.140625" style="176" customWidth="1"/>
    <col min="9988" max="9988" width="18.140625" style="176" customWidth="1"/>
    <col min="9989" max="9989" width="9.28515625" style="176" customWidth="1"/>
    <col min="9990" max="9990" width="9.42578125" style="176" customWidth="1"/>
    <col min="9991" max="9991" width="10.7109375" style="176" customWidth="1"/>
    <col min="9992" max="9992" width="21.42578125" style="176" customWidth="1"/>
    <col min="9993" max="9993" width="12.5703125" style="176" customWidth="1"/>
    <col min="9994" max="9994" width="11.85546875" style="176" customWidth="1"/>
    <col min="9995" max="9995" width="13.28515625" style="176" customWidth="1"/>
    <col min="9996" max="10240" width="11.42578125" style="176"/>
    <col min="10241" max="10241" width="20.140625" style="176" customWidth="1"/>
    <col min="10242" max="10242" width="11" style="176" customWidth="1"/>
    <col min="10243" max="10243" width="13.140625" style="176" customWidth="1"/>
    <col min="10244" max="10244" width="18.140625" style="176" customWidth="1"/>
    <col min="10245" max="10245" width="9.28515625" style="176" customWidth="1"/>
    <col min="10246" max="10246" width="9.42578125" style="176" customWidth="1"/>
    <col min="10247" max="10247" width="10.7109375" style="176" customWidth="1"/>
    <col min="10248" max="10248" width="21.42578125" style="176" customWidth="1"/>
    <col min="10249" max="10249" width="12.5703125" style="176" customWidth="1"/>
    <col min="10250" max="10250" width="11.85546875" style="176" customWidth="1"/>
    <col min="10251" max="10251" width="13.28515625" style="176" customWidth="1"/>
    <col min="10252" max="10496" width="11.42578125" style="176"/>
    <col min="10497" max="10497" width="20.140625" style="176" customWidth="1"/>
    <col min="10498" max="10498" width="11" style="176" customWidth="1"/>
    <col min="10499" max="10499" width="13.140625" style="176" customWidth="1"/>
    <col min="10500" max="10500" width="18.140625" style="176" customWidth="1"/>
    <col min="10501" max="10501" width="9.28515625" style="176" customWidth="1"/>
    <col min="10502" max="10502" width="9.42578125" style="176" customWidth="1"/>
    <col min="10503" max="10503" width="10.7109375" style="176" customWidth="1"/>
    <col min="10504" max="10504" width="21.42578125" style="176" customWidth="1"/>
    <col min="10505" max="10505" width="12.5703125" style="176" customWidth="1"/>
    <col min="10506" max="10506" width="11.85546875" style="176" customWidth="1"/>
    <col min="10507" max="10507" width="13.28515625" style="176" customWidth="1"/>
    <col min="10508" max="10752" width="11.42578125" style="176"/>
    <col min="10753" max="10753" width="20.140625" style="176" customWidth="1"/>
    <col min="10754" max="10754" width="11" style="176" customWidth="1"/>
    <col min="10755" max="10755" width="13.140625" style="176" customWidth="1"/>
    <col min="10756" max="10756" width="18.140625" style="176" customWidth="1"/>
    <col min="10757" max="10757" width="9.28515625" style="176" customWidth="1"/>
    <col min="10758" max="10758" width="9.42578125" style="176" customWidth="1"/>
    <col min="10759" max="10759" width="10.7109375" style="176" customWidth="1"/>
    <col min="10760" max="10760" width="21.42578125" style="176" customWidth="1"/>
    <col min="10761" max="10761" width="12.5703125" style="176" customWidth="1"/>
    <col min="10762" max="10762" width="11.85546875" style="176" customWidth="1"/>
    <col min="10763" max="10763" width="13.28515625" style="176" customWidth="1"/>
    <col min="10764" max="11008" width="11.42578125" style="176"/>
    <col min="11009" max="11009" width="20.140625" style="176" customWidth="1"/>
    <col min="11010" max="11010" width="11" style="176" customWidth="1"/>
    <col min="11011" max="11011" width="13.140625" style="176" customWidth="1"/>
    <col min="11012" max="11012" width="18.140625" style="176" customWidth="1"/>
    <col min="11013" max="11013" width="9.28515625" style="176" customWidth="1"/>
    <col min="11014" max="11014" width="9.42578125" style="176" customWidth="1"/>
    <col min="11015" max="11015" width="10.7109375" style="176" customWidth="1"/>
    <col min="11016" max="11016" width="21.42578125" style="176" customWidth="1"/>
    <col min="11017" max="11017" width="12.5703125" style="176" customWidth="1"/>
    <col min="11018" max="11018" width="11.85546875" style="176" customWidth="1"/>
    <col min="11019" max="11019" width="13.28515625" style="176" customWidth="1"/>
    <col min="11020" max="11264" width="11.42578125" style="176"/>
    <col min="11265" max="11265" width="20.140625" style="176" customWidth="1"/>
    <col min="11266" max="11266" width="11" style="176" customWidth="1"/>
    <col min="11267" max="11267" width="13.140625" style="176" customWidth="1"/>
    <col min="11268" max="11268" width="18.140625" style="176" customWidth="1"/>
    <col min="11269" max="11269" width="9.28515625" style="176" customWidth="1"/>
    <col min="11270" max="11270" width="9.42578125" style="176" customWidth="1"/>
    <col min="11271" max="11271" width="10.7109375" style="176" customWidth="1"/>
    <col min="11272" max="11272" width="21.42578125" style="176" customWidth="1"/>
    <col min="11273" max="11273" width="12.5703125" style="176" customWidth="1"/>
    <col min="11274" max="11274" width="11.85546875" style="176" customWidth="1"/>
    <col min="11275" max="11275" width="13.28515625" style="176" customWidth="1"/>
    <col min="11276" max="11520" width="11.42578125" style="176"/>
    <col min="11521" max="11521" width="20.140625" style="176" customWidth="1"/>
    <col min="11522" max="11522" width="11" style="176" customWidth="1"/>
    <col min="11523" max="11523" width="13.140625" style="176" customWidth="1"/>
    <col min="11524" max="11524" width="18.140625" style="176" customWidth="1"/>
    <col min="11525" max="11525" width="9.28515625" style="176" customWidth="1"/>
    <col min="11526" max="11526" width="9.42578125" style="176" customWidth="1"/>
    <col min="11527" max="11527" width="10.7109375" style="176" customWidth="1"/>
    <col min="11528" max="11528" width="21.42578125" style="176" customWidth="1"/>
    <col min="11529" max="11529" width="12.5703125" style="176" customWidth="1"/>
    <col min="11530" max="11530" width="11.85546875" style="176" customWidth="1"/>
    <col min="11531" max="11531" width="13.28515625" style="176" customWidth="1"/>
    <col min="11532" max="11776" width="11.42578125" style="176"/>
    <col min="11777" max="11777" width="20.140625" style="176" customWidth="1"/>
    <col min="11778" max="11778" width="11" style="176" customWidth="1"/>
    <col min="11779" max="11779" width="13.140625" style="176" customWidth="1"/>
    <col min="11780" max="11780" width="18.140625" style="176" customWidth="1"/>
    <col min="11781" max="11781" width="9.28515625" style="176" customWidth="1"/>
    <col min="11782" max="11782" width="9.42578125" style="176" customWidth="1"/>
    <col min="11783" max="11783" width="10.7109375" style="176" customWidth="1"/>
    <col min="11784" max="11784" width="21.42578125" style="176" customWidth="1"/>
    <col min="11785" max="11785" width="12.5703125" style="176" customWidth="1"/>
    <col min="11786" max="11786" width="11.85546875" style="176" customWidth="1"/>
    <col min="11787" max="11787" width="13.28515625" style="176" customWidth="1"/>
    <col min="11788" max="12032" width="11.42578125" style="176"/>
    <col min="12033" max="12033" width="20.140625" style="176" customWidth="1"/>
    <col min="12034" max="12034" width="11" style="176" customWidth="1"/>
    <col min="12035" max="12035" width="13.140625" style="176" customWidth="1"/>
    <col min="12036" max="12036" width="18.140625" style="176" customWidth="1"/>
    <col min="12037" max="12037" width="9.28515625" style="176" customWidth="1"/>
    <col min="12038" max="12038" width="9.42578125" style="176" customWidth="1"/>
    <col min="12039" max="12039" width="10.7109375" style="176" customWidth="1"/>
    <col min="12040" max="12040" width="21.42578125" style="176" customWidth="1"/>
    <col min="12041" max="12041" width="12.5703125" style="176" customWidth="1"/>
    <col min="12042" max="12042" width="11.85546875" style="176" customWidth="1"/>
    <col min="12043" max="12043" width="13.28515625" style="176" customWidth="1"/>
    <col min="12044" max="12288" width="11.42578125" style="176"/>
    <col min="12289" max="12289" width="20.140625" style="176" customWidth="1"/>
    <col min="12290" max="12290" width="11" style="176" customWidth="1"/>
    <col min="12291" max="12291" width="13.140625" style="176" customWidth="1"/>
    <col min="12292" max="12292" width="18.140625" style="176" customWidth="1"/>
    <col min="12293" max="12293" width="9.28515625" style="176" customWidth="1"/>
    <col min="12294" max="12294" width="9.42578125" style="176" customWidth="1"/>
    <col min="12295" max="12295" width="10.7109375" style="176" customWidth="1"/>
    <col min="12296" max="12296" width="21.42578125" style="176" customWidth="1"/>
    <col min="12297" max="12297" width="12.5703125" style="176" customWidth="1"/>
    <col min="12298" max="12298" width="11.85546875" style="176" customWidth="1"/>
    <col min="12299" max="12299" width="13.28515625" style="176" customWidth="1"/>
    <col min="12300" max="12544" width="11.42578125" style="176"/>
    <col min="12545" max="12545" width="20.140625" style="176" customWidth="1"/>
    <col min="12546" max="12546" width="11" style="176" customWidth="1"/>
    <col min="12547" max="12547" width="13.140625" style="176" customWidth="1"/>
    <col min="12548" max="12548" width="18.140625" style="176" customWidth="1"/>
    <col min="12549" max="12549" width="9.28515625" style="176" customWidth="1"/>
    <col min="12550" max="12550" width="9.42578125" style="176" customWidth="1"/>
    <col min="12551" max="12551" width="10.7109375" style="176" customWidth="1"/>
    <col min="12552" max="12552" width="21.42578125" style="176" customWidth="1"/>
    <col min="12553" max="12553" width="12.5703125" style="176" customWidth="1"/>
    <col min="12554" max="12554" width="11.85546875" style="176" customWidth="1"/>
    <col min="12555" max="12555" width="13.28515625" style="176" customWidth="1"/>
    <col min="12556" max="12800" width="11.42578125" style="176"/>
    <col min="12801" max="12801" width="20.140625" style="176" customWidth="1"/>
    <col min="12802" max="12802" width="11" style="176" customWidth="1"/>
    <col min="12803" max="12803" width="13.140625" style="176" customWidth="1"/>
    <col min="12804" max="12804" width="18.140625" style="176" customWidth="1"/>
    <col min="12805" max="12805" width="9.28515625" style="176" customWidth="1"/>
    <col min="12806" max="12806" width="9.42578125" style="176" customWidth="1"/>
    <col min="12807" max="12807" width="10.7109375" style="176" customWidth="1"/>
    <col min="12808" max="12808" width="21.42578125" style="176" customWidth="1"/>
    <col min="12809" max="12809" width="12.5703125" style="176" customWidth="1"/>
    <col min="12810" max="12810" width="11.85546875" style="176" customWidth="1"/>
    <col min="12811" max="12811" width="13.28515625" style="176" customWidth="1"/>
    <col min="12812" max="13056" width="11.42578125" style="176"/>
    <col min="13057" max="13057" width="20.140625" style="176" customWidth="1"/>
    <col min="13058" max="13058" width="11" style="176" customWidth="1"/>
    <col min="13059" max="13059" width="13.140625" style="176" customWidth="1"/>
    <col min="13060" max="13060" width="18.140625" style="176" customWidth="1"/>
    <col min="13061" max="13061" width="9.28515625" style="176" customWidth="1"/>
    <col min="13062" max="13062" width="9.42578125" style="176" customWidth="1"/>
    <col min="13063" max="13063" width="10.7109375" style="176" customWidth="1"/>
    <col min="13064" max="13064" width="21.42578125" style="176" customWidth="1"/>
    <col min="13065" max="13065" width="12.5703125" style="176" customWidth="1"/>
    <col min="13066" max="13066" width="11.85546875" style="176" customWidth="1"/>
    <col min="13067" max="13067" width="13.28515625" style="176" customWidth="1"/>
    <col min="13068" max="13312" width="11.42578125" style="176"/>
    <col min="13313" max="13313" width="20.140625" style="176" customWidth="1"/>
    <col min="13314" max="13314" width="11" style="176" customWidth="1"/>
    <col min="13315" max="13315" width="13.140625" style="176" customWidth="1"/>
    <col min="13316" max="13316" width="18.140625" style="176" customWidth="1"/>
    <col min="13317" max="13317" width="9.28515625" style="176" customWidth="1"/>
    <col min="13318" max="13318" width="9.42578125" style="176" customWidth="1"/>
    <col min="13319" max="13319" width="10.7109375" style="176" customWidth="1"/>
    <col min="13320" max="13320" width="21.42578125" style="176" customWidth="1"/>
    <col min="13321" max="13321" width="12.5703125" style="176" customWidth="1"/>
    <col min="13322" max="13322" width="11.85546875" style="176" customWidth="1"/>
    <col min="13323" max="13323" width="13.28515625" style="176" customWidth="1"/>
    <col min="13324" max="13568" width="11.42578125" style="176"/>
    <col min="13569" max="13569" width="20.140625" style="176" customWidth="1"/>
    <col min="13570" max="13570" width="11" style="176" customWidth="1"/>
    <col min="13571" max="13571" width="13.140625" style="176" customWidth="1"/>
    <col min="13572" max="13572" width="18.140625" style="176" customWidth="1"/>
    <col min="13573" max="13573" width="9.28515625" style="176" customWidth="1"/>
    <col min="13574" max="13574" width="9.42578125" style="176" customWidth="1"/>
    <col min="13575" max="13575" width="10.7109375" style="176" customWidth="1"/>
    <col min="13576" max="13576" width="21.42578125" style="176" customWidth="1"/>
    <col min="13577" max="13577" width="12.5703125" style="176" customWidth="1"/>
    <col min="13578" max="13578" width="11.85546875" style="176" customWidth="1"/>
    <col min="13579" max="13579" width="13.28515625" style="176" customWidth="1"/>
    <col min="13580" max="13824" width="11.42578125" style="176"/>
    <col min="13825" max="13825" width="20.140625" style="176" customWidth="1"/>
    <col min="13826" max="13826" width="11" style="176" customWidth="1"/>
    <col min="13827" max="13827" width="13.140625" style="176" customWidth="1"/>
    <col min="13828" max="13828" width="18.140625" style="176" customWidth="1"/>
    <col min="13829" max="13829" width="9.28515625" style="176" customWidth="1"/>
    <col min="13830" max="13830" width="9.42578125" style="176" customWidth="1"/>
    <col min="13831" max="13831" width="10.7109375" style="176" customWidth="1"/>
    <col min="13832" max="13832" width="21.42578125" style="176" customWidth="1"/>
    <col min="13833" max="13833" width="12.5703125" style="176" customWidth="1"/>
    <col min="13834" max="13834" width="11.85546875" style="176" customWidth="1"/>
    <col min="13835" max="13835" width="13.28515625" style="176" customWidth="1"/>
    <col min="13836" max="14080" width="11.42578125" style="176"/>
    <col min="14081" max="14081" width="20.140625" style="176" customWidth="1"/>
    <col min="14082" max="14082" width="11" style="176" customWidth="1"/>
    <col min="14083" max="14083" width="13.140625" style="176" customWidth="1"/>
    <col min="14084" max="14084" width="18.140625" style="176" customWidth="1"/>
    <col min="14085" max="14085" width="9.28515625" style="176" customWidth="1"/>
    <col min="14086" max="14086" width="9.42578125" style="176" customWidth="1"/>
    <col min="14087" max="14087" width="10.7109375" style="176" customWidth="1"/>
    <col min="14088" max="14088" width="21.42578125" style="176" customWidth="1"/>
    <col min="14089" max="14089" width="12.5703125" style="176" customWidth="1"/>
    <col min="14090" max="14090" width="11.85546875" style="176" customWidth="1"/>
    <col min="14091" max="14091" width="13.28515625" style="176" customWidth="1"/>
    <col min="14092" max="14336" width="11.42578125" style="176"/>
    <col min="14337" max="14337" width="20.140625" style="176" customWidth="1"/>
    <col min="14338" max="14338" width="11" style="176" customWidth="1"/>
    <col min="14339" max="14339" width="13.140625" style="176" customWidth="1"/>
    <col min="14340" max="14340" width="18.140625" style="176" customWidth="1"/>
    <col min="14341" max="14341" width="9.28515625" style="176" customWidth="1"/>
    <col min="14342" max="14342" width="9.42578125" style="176" customWidth="1"/>
    <col min="14343" max="14343" width="10.7109375" style="176" customWidth="1"/>
    <col min="14344" max="14344" width="21.42578125" style="176" customWidth="1"/>
    <col min="14345" max="14345" width="12.5703125" style="176" customWidth="1"/>
    <col min="14346" max="14346" width="11.85546875" style="176" customWidth="1"/>
    <col min="14347" max="14347" width="13.28515625" style="176" customWidth="1"/>
    <col min="14348" max="14592" width="11.42578125" style="176"/>
    <col min="14593" max="14593" width="20.140625" style="176" customWidth="1"/>
    <col min="14594" max="14594" width="11" style="176" customWidth="1"/>
    <col min="14595" max="14595" width="13.140625" style="176" customWidth="1"/>
    <col min="14596" max="14596" width="18.140625" style="176" customWidth="1"/>
    <col min="14597" max="14597" width="9.28515625" style="176" customWidth="1"/>
    <col min="14598" max="14598" width="9.42578125" style="176" customWidth="1"/>
    <col min="14599" max="14599" width="10.7109375" style="176" customWidth="1"/>
    <col min="14600" max="14600" width="21.42578125" style="176" customWidth="1"/>
    <col min="14601" max="14601" width="12.5703125" style="176" customWidth="1"/>
    <col min="14602" max="14602" width="11.85546875" style="176" customWidth="1"/>
    <col min="14603" max="14603" width="13.28515625" style="176" customWidth="1"/>
    <col min="14604" max="14848" width="11.42578125" style="176"/>
    <col min="14849" max="14849" width="20.140625" style="176" customWidth="1"/>
    <col min="14850" max="14850" width="11" style="176" customWidth="1"/>
    <col min="14851" max="14851" width="13.140625" style="176" customWidth="1"/>
    <col min="14852" max="14852" width="18.140625" style="176" customWidth="1"/>
    <col min="14853" max="14853" width="9.28515625" style="176" customWidth="1"/>
    <col min="14854" max="14854" width="9.42578125" style="176" customWidth="1"/>
    <col min="14855" max="14855" width="10.7109375" style="176" customWidth="1"/>
    <col min="14856" max="14856" width="21.42578125" style="176" customWidth="1"/>
    <col min="14857" max="14857" width="12.5703125" style="176" customWidth="1"/>
    <col min="14858" max="14858" width="11.85546875" style="176" customWidth="1"/>
    <col min="14859" max="14859" width="13.28515625" style="176" customWidth="1"/>
    <col min="14860" max="15104" width="11.42578125" style="176"/>
    <col min="15105" max="15105" width="20.140625" style="176" customWidth="1"/>
    <col min="15106" max="15106" width="11" style="176" customWidth="1"/>
    <col min="15107" max="15107" width="13.140625" style="176" customWidth="1"/>
    <col min="15108" max="15108" width="18.140625" style="176" customWidth="1"/>
    <col min="15109" max="15109" width="9.28515625" style="176" customWidth="1"/>
    <col min="15110" max="15110" width="9.42578125" style="176" customWidth="1"/>
    <col min="15111" max="15111" width="10.7109375" style="176" customWidth="1"/>
    <col min="15112" max="15112" width="21.42578125" style="176" customWidth="1"/>
    <col min="15113" max="15113" width="12.5703125" style="176" customWidth="1"/>
    <col min="15114" max="15114" width="11.85546875" style="176" customWidth="1"/>
    <col min="15115" max="15115" width="13.28515625" style="176" customWidth="1"/>
    <col min="15116" max="15360" width="11.42578125" style="176"/>
    <col min="15361" max="15361" width="20.140625" style="176" customWidth="1"/>
    <col min="15362" max="15362" width="11" style="176" customWidth="1"/>
    <col min="15363" max="15363" width="13.140625" style="176" customWidth="1"/>
    <col min="15364" max="15364" width="18.140625" style="176" customWidth="1"/>
    <col min="15365" max="15365" width="9.28515625" style="176" customWidth="1"/>
    <col min="15366" max="15366" width="9.42578125" style="176" customWidth="1"/>
    <col min="15367" max="15367" width="10.7109375" style="176" customWidth="1"/>
    <col min="15368" max="15368" width="21.42578125" style="176" customWidth="1"/>
    <col min="15369" max="15369" width="12.5703125" style="176" customWidth="1"/>
    <col min="15370" max="15370" width="11.85546875" style="176" customWidth="1"/>
    <col min="15371" max="15371" width="13.28515625" style="176" customWidth="1"/>
    <col min="15372" max="15616" width="11.42578125" style="176"/>
    <col min="15617" max="15617" width="20.140625" style="176" customWidth="1"/>
    <col min="15618" max="15618" width="11" style="176" customWidth="1"/>
    <col min="15619" max="15619" width="13.140625" style="176" customWidth="1"/>
    <col min="15620" max="15620" width="18.140625" style="176" customWidth="1"/>
    <col min="15621" max="15621" width="9.28515625" style="176" customWidth="1"/>
    <col min="15622" max="15622" width="9.42578125" style="176" customWidth="1"/>
    <col min="15623" max="15623" width="10.7109375" style="176" customWidth="1"/>
    <col min="15624" max="15624" width="21.42578125" style="176" customWidth="1"/>
    <col min="15625" max="15625" width="12.5703125" style="176" customWidth="1"/>
    <col min="15626" max="15626" width="11.85546875" style="176" customWidth="1"/>
    <col min="15627" max="15627" width="13.28515625" style="176" customWidth="1"/>
    <col min="15628" max="15872" width="11.42578125" style="176"/>
    <col min="15873" max="15873" width="20.140625" style="176" customWidth="1"/>
    <col min="15874" max="15874" width="11" style="176" customWidth="1"/>
    <col min="15875" max="15875" width="13.140625" style="176" customWidth="1"/>
    <col min="15876" max="15876" width="18.140625" style="176" customWidth="1"/>
    <col min="15877" max="15877" width="9.28515625" style="176" customWidth="1"/>
    <col min="15878" max="15878" width="9.42578125" style="176" customWidth="1"/>
    <col min="15879" max="15879" width="10.7109375" style="176" customWidth="1"/>
    <col min="15880" max="15880" width="21.42578125" style="176" customWidth="1"/>
    <col min="15881" max="15881" width="12.5703125" style="176" customWidth="1"/>
    <col min="15882" max="15882" width="11.85546875" style="176" customWidth="1"/>
    <col min="15883" max="15883" width="13.28515625" style="176" customWidth="1"/>
    <col min="15884" max="16128" width="11.42578125" style="176"/>
    <col min="16129" max="16129" width="20.140625" style="176" customWidth="1"/>
    <col min="16130" max="16130" width="11" style="176" customWidth="1"/>
    <col min="16131" max="16131" width="13.140625" style="176" customWidth="1"/>
    <col min="16132" max="16132" width="18.140625" style="176" customWidth="1"/>
    <col min="16133" max="16133" width="9.28515625" style="176" customWidth="1"/>
    <col min="16134" max="16134" width="9.42578125" style="176" customWidth="1"/>
    <col min="16135" max="16135" width="10.7109375" style="176" customWidth="1"/>
    <col min="16136" max="16136" width="21.42578125" style="176" customWidth="1"/>
    <col min="16137" max="16137" width="12.5703125" style="176" customWidth="1"/>
    <col min="16138" max="16138" width="11.85546875" style="176" customWidth="1"/>
    <col min="16139" max="16139" width="13.28515625" style="176" customWidth="1"/>
    <col min="16140" max="16384" width="11.42578125" style="176"/>
  </cols>
  <sheetData>
    <row r="2" spans="1:11" x14ac:dyDescent="0.2">
      <c r="A2" s="327"/>
      <c r="B2" s="328" t="s">
        <v>320</v>
      </c>
      <c r="C2" s="328"/>
      <c r="D2" s="328"/>
      <c r="E2" s="328"/>
      <c r="F2" s="328"/>
      <c r="G2" s="328"/>
      <c r="H2" s="327"/>
    </row>
    <row r="3" spans="1:11" ht="12.75" customHeight="1" x14ac:dyDescent="0.2">
      <c r="A3" s="327"/>
      <c r="B3" s="329" t="s">
        <v>322</v>
      </c>
      <c r="C3" s="329"/>
      <c r="D3" s="329"/>
      <c r="E3" s="329"/>
      <c r="F3" s="329"/>
      <c r="G3" s="329"/>
      <c r="H3" s="327"/>
    </row>
    <row r="4" spans="1:11" x14ac:dyDescent="0.2">
      <c r="A4" s="327"/>
      <c r="B4" s="329"/>
      <c r="C4" s="329"/>
      <c r="D4" s="329"/>
      <c r="E4" s="329"/>
      <c r="F4" s="329"/>
      <c r="G4" s="329"/>
      <c r="H4" s="327"/>
    </row>
    <row r="5" spans="1:11" x14ac:dyDescent="0.2">
      <c r="A5" s="327"/>
      <c r="B5" s="329"/>
      <c r="C5" s="329"/>
      <c r="D5" s="329"/>
      <c r="E5" s="329"/>
      <c r="F5" s="329"/>
      <c r="G5" s="329"/>
      <c r="H5" s="327"/>
    </row>
    <row r="6" spans="1:11" x14ac:dyDescent="0.2">
      <c r="A6" s="327"/>
      <c r="B6" s="329"/>
      <c r="C6" s="329"/>
      <c r="D6" s="329"/>
      <c r="E6" s="329"/>
      <c r="F6" s="329"/>
      <c r="G6" s="329"/>
      <c r="H6" s="327"/>
    </row>
    <row r="7" spans="1:11" s="178" customFormat="1" ht="12.75" customHeight="1" x14ac:dyDescent="0.2">
      <c r="A7" s="327"/>
      <c r="B7" s="329" t="s">
        <v>326</v>
      </c>
      <c r="C7" s="329"/>
      <c r="D7" s="328" t="s">
        <v>323</v>
      </c>
      <c r="E7" s="328"/>
      <c r="F7" s="328" t="s">
        <v>321</v>
      </c>
      <c r="G7" s="328"/>
      <c r="H7" s="327"/>
      <c r="K7" s="179"/>
    </row>
    <row r="8" spans="1:11" ht="31.5" customHeight="1" x14ac:dyDescent="0.2">
      <c r="A8" s="327"/>
      <c r="B8" s="329"/>
      <c r="C8" s="329"/>
      <c r="D8" s="328"/>
      <c r="E8" s="328"/>
      <c r="F8" s="328"/>
      <c r="G8" s="328"/>
      <c r="H8" s="327"/>
    </row>
    <row r="9" spans="1:11" ht="34.5" customHeight="1" x14ac:dyDescent="0.2">
      <c r="A9" s="323" t="s">
        <v>356</v>
      </c>
      <c r="B9" s="324"/>
      <c r="C9" s="324"/>
      <c r="D9" s="324"/>
      <c r="E9" s="324"/>
      <c r="F9" s="324"/>
      <c r="G9" s="324"/>
      <c r="H9" s="324"/>
    </row>
    <row r="10" spans="1:11" x14ac:dyDescent="0.2">
      <c r="A10" s="181" t="s">
        <v>330</v>
      </c>
      <c r="B10" s="180"/>
      <c r="C10" s="180"/>
      <c r="D10" s="180"/>
      <c r="E10" s="180"/>
      <c r="F10" s="180"/>
      <c r="G10" s="180"/>
    </row>
    <row r="11" spans="1:11" x14ac:dyDescent="0.2">
      <c r="A11" s="181"/>
      <c r="B11" s="180"/>
      <c r="C11" s="180"/>
      <c r="D11" s="180"/>
      <c r="E11" s="180"/>
      <c r="F11" s="180"/>
      <c r="G11" s="180"/>
    </row>
    <row r="12" spans="1:11" x14ac:dyDescent="0.2">
      <c r="A12" s="181" t="s">
        <v>331</v>
      </c>
      <c r="B12" s="180"/>
      <c r="C12" s="180"/>
      <c r="D12" s="180"/>
      <c r="E12" s="180"/>
      <c r="F12" s="180"/>
      <c r="G12" s="180"/>
    </row>
    <row r="13" spans="1:11" x14ac:dyDescent="0.2">
      <c r="A13" s="180"/>
      <c r="B13" s="180"/>
      <c r="C13" s="180"/>
      <c r="D13" s="180"/>
      <c r="E13" s="180"/>
      <c r="F13" s="180"/>
      <c r="G13" s="180"/>
      <c r="K13" s="176"/>
    </row>
    <row r="14" spans="1:11" ht="12.75" customHeight="1" x14ac:dyDescent="0.2">
      <c r="A14" s="325" t="s">
        <v>332</v>
      </c>
      <c r="B14" s="326"/>
      <c r="C14" s="326"/>
      <c r="D14" s="326"/>
      <c r="E14" s="326"/>
      <c r="F14" s="326"/>
      <c r="G14" s="326"/>
      <c r="H14" s="326"/>
      <c r="K14" s="176"/>
    </row>
    <row r="15" spans="1:11" x14ac:dyDescent="0.2">
      <c r="A15" s="180" t="s">
        <v>333</v>
      </c>
      <c r="B15" s="180"/>
      <c r="C15" s="228">
        <v>2</v>
      </c>
      <c r="D15" s="180" t="s">
        <v>54</v>
      </c>
      <c r="E15" s="180"/>
      <c r="F15" s="180"/>
      <c r="G15" s="180"/>
      <c r="K15" s="176"/>
    </row>
    <row r="16" spans="1:11" x14ac:dyDescent="0.2">
      <c r="A16" s="180" t="s">
        <v>334</v>
      </c>
      <c r="B16" s="180"/>
      <c r="C16" s="228">
        <v>0.8</v>
      </c>
      <c r="D16" s="180" t="s">
        <v>347</v>
      </c>
      <c r="E16" s="180"/>
      <c r="F16" s="180"/>
      <c r="G16" s="180"/>
      <c r="K16" s="176"/>
    </row>
    <row r="17" spans="1:11" x14ac:dyDescent="0.2">
      <c r="A17" s="180" t="s">
        <v>348</v>
      </c>
      <c r="B17" s="180"/>
      <c r="C17" s="228">
        <v>0.7</v>
      </c>
      <c r="D17" s="180" t="s">
        <v>54</v>
      </c>
      <c r="E17" s="180"/>
      <c r="F17" s="180"/>
      <c r="G17" s="180"/>
      <c r="K17" s="176"/>
    </row>
    <row r="18" spans="1:11" x14ac:dyDescent="0.2">
      <c r="A18" s="180" t="s">
        <v>349</v>
      </c>
      <c r="B18" s="180"/>
      <c r="C18" s="229">
        <f>C15*C16*C17</f>
        <v>1.1199999999999999</v>
      </c>
      <c r="D18" s="180" t="s">
        <v>350</v>
      </c>
      <c r="E18" s="180"/>
      <c r="F18" s="180"/>
      <c r="G18" s="180"/>
      <c r="K18" s="176"/>
    </row>
    <row r="19" spans="1:11" x14ac:dyDescent="0.2">
      <c r="A19" s="181"/>
      <c r="B19" s="180"/>
      <c r="C19" s="180"/>
      <c r="D19" s="180"/>
      <c r="E19" s="180"/>
      <c r="F19" s="180"/>
      <c r="G19" s="180"/>
      <c r="K19" s="176"/>
    </row>
    <row r="20" spans="1:11" x14ac:dyDescent="0.2">
      <c r="A20" s="181" t="s">
        <v>335</v>
      </c>
      <c r="B20" s="180"/>
      <c r="C20" s="180"/>
      <c r="D20" s="180"/>
      <c r="E20" s="180"/>
      <c r="F20" s="180"/>
      <c r="G20" s="180"/>
      <c r="K20" s="176"/>
    </row>
    <row r="21" spans="1:11" x14ac:dyDescent="0.2">
      <c r="A21" s="180"/>
      <c r="B21" s="180"/>
      <c r="C21" s="180"/>
      <c r="D21" s="180"/>
      <c r="E21" s="180"/>
      <c r="F21" s="180"/>
      <c r="G21" s="180"/>
      <c r="K21" s="176"/>
    </row>
    <row r="22" spans="1:11" ht="12.75" customHeight="1" x14ac:dyDescent="0.2">
      <c r="A22" s="308" t="s">
        <v>336</v>
      </c>
      <c r="B22" s="312"/>
      <c r="C22" s="312"/>
      <c r="D22" s="312"/>
      <c r="E22" s="312"/>
      <c r="F22" s="312"/>
      <c r="G22" s="312"/>
      <c r="H22" s="312"/>
      <c r="K22" s="176"/>
    </row>
    <row r="23" spans="1:11" x14ac:dyDescent="0.2">
      <c r="A23" s="183"/>
      <c r="B23" s="184"/>
      <c r="C23" s="184"/>
      <c r="D23" s="184"/>
      <c r="E23" s="184"/>
      <c r="K23" s="176"/>
    </row>
    <row r="24" spans="1:11" x14ac:dyDescent="0.2">
      <c r="A24" s="309" t="s">
        <v>360</v>
      </c>
      <c r="B24" s="309"/>
      <c r="C24" s="309"/>
      <c r="D24" s="309"/>
      <c r="E24" s="309"/>
      <c r="F24" s="309"/>
      <c r="G24" s="309"/>
      <c r="H24" s="309"/>
      <c r="K24" s="176"/>
    </row>
    <row r="25" spans="1:11" x14ac:dyDescent="0.2">
      <c r="A25" s="184" t="s">
        <v>88</v>
      </c>
      <c r="B25" s="184"/>
      <c r="C25" s="184"/>
      <c r="D25" s="184"/>
      <c r="E25" s="184"/>
      <c r="K25" s="176"/>
    </row>
    <row r="26" spans="1:11" x14ac:dyDescent="0.2">
      <c r="A26" s="183"/>
      <c r="B26" s="184"/>
      <c r="C26" s="184"/>
      <c r="D26" s="184"/>
      <c r="E26" s="184"/>
      <c r="K26" s="176"/>
    </row>
    <row r="27" spans="1:11" x14ac:dyDescent="0.2">
      <c r="A27" s="184" t="s">
        <v>337</v>
      </c>
      <c r="B27" s="184"/>
      <c r="C27" s="184"/>
      <c r="D27" s="184"/>
      <c r="E27" s="184"/>
      <c r="K27" s="176"/>
    </row>
    <row r="28" spans="1:11" x14ac:dyDescent="0.2">
      <c r="A28" s="184" t="s">
        <v>338</v>
      </c>
      <c r="B28" s="184"/>
      <c r="C28" s="184">
        <v>0.2</v>
      </c>
      <c r="D28" s="184" t="s">
        <v>54</v>
      </c>
      <c r="E28" s="184"/>
      <c r="K28" s="176"/>
    </row>
    <row r="29" spans="1:11" x14ac:dyDescent="0.2">
      <c r="A29" s="184"/>
      <c r="B29" s="184"/>
      <c r="C29" s="184"/>
      <c r="D29" s="184"/>
      <c r="E29" s="184"/>
      <c r="K29" s="176"/>
    </row>
    <row r="30" spans="1:11" x14ac:dyDescent="0.2">
      <c r="A30" s="180"/>
      <c r="B30" s="180"/>
      <c r="C30" s="180"/>
      <c r="D30" s="180"/>
      <c r="E30" s="180"/>
      <c r="F30" s="180"/>
      <c r="G30" s="180"/>
      <c r="K30" s="176"/>
    </row>
    <row r="31" spans="1:11" x14ac:dyDescent="0.2">
      <c r="A31" s="180"/>
      <c r="B31" s="183" t="s">
        <v>339</v>
      </c>
      <c r="C31" s="183"/>
      <c r="D31" s="181"/>
      <c r="E31" s="267">
        <f>1.43*((C28)^(5/2))</f>
        <v>2.5580617662597595E-2</v>
      </c>
      <c r="F31" s="224" t="s">
        <v>129</v>
      </c>
      <c r="G31" s="268">
        <f>+E31*1000</f>
        <v>25.580617662597597</v>
      </c>
      <c r="K31" s="176"/>
    </row>
    <row r="32" spans="1:11" x14ac:dyDescent="0.2">
      <c r="A32" s="180"/>
      <c r="B32" s="180"/>
      <c r="C32" s="180"/>
      <c r="D32" s="180"/>
      <c r="E32" s="180"/>
      <c r="F32" s="180"/>
      <c r="G32" s="180"/>
      <c r="K32" s="176"/>
    </row>
    <row r="33" spans="1:11" x14ac:dyDescent="0.2">
      <c r="A33" s="180"/>
      <c r="B33" s="180"/>
      <c r="C33" s="180"/>
      <c r="D33" s="180"/>
      <c r="E33" s="180"/>
      <c r="F33" s="180"/>
      <c r="G33" s="180"/>
      <c r="K33" s="176"/>
    </row>
    <row r="34" spans="1:11" x14ac:dyDescent="0.2">
      <c r="A34" s="181" t="s">
        <v>340</v>
      </c>
      <c r="B34" s="180"/>
      <c r="C34" s="180"/>
      <c r="D34" s="180"/>
      <c r="E34" s="180"/>
      <c r="F34" s="180"/>
      <c r="G34" s="180"/>
      <c r="K34" s="176"/>
    </row>
    <row r="35" spans="1:11" x14ac:dyDescent="0.2">
      <c r="A35" s="180"/>
      <c r="B35" s="180"/>
      <c r="C35" s="180"/>
      <c r="D35" s="180"/>
      <c r="E35" s="180"/>
      <c r="F35" s="180"/>
      <c r="G35" s="180"/>
      <c r="K35" s="176"/>
    </row>
    <row r="36" spans="1:11" x14ac:dyDescent="0.2">
      <c r="A36" s="309" t="s">
        <v>344</v>
      </c>
      <c r="B36" s="309"/>
      <c r="C36" s="309"/>
      <c r="D36" s="309"/>
      <c r="E36" s="309"/>
      <c r="F36" s="309"/>
      <c r="G36" s="309"/>
      <c r="K36" s="176"/>
    </row>
    <row r="37" spans="1:11" x14ac:dyDescent="0.2">
      <c r="A37" s="180"/>
      <c r="B37" s="180"/>
      <c r="C37" s="180"/>
      <c r="D37" s="180"/>
      <c r="E37" s="180"/>
      <c r="F37" s="180"/>
      <c r="G37" s="180"/>
      <c r="K37" s="176"/>
    </row>
    <row r="38" spans="1:11" x14ac:dyDescent="0.2">
      <c r="A38" s="184" t="s">
        <v>341</v>
      </c>
      <c r="B38" s="184"/>
      <c r="C38" s="184">
        <f>4*0.0254</f>
        <v>0.1016</v>
      </c>
      <c r="D38" s="184" t="s">
        <v>54</v>
      </c>
      <c r="E38" s="180"/>
      <c r="F38" s="180"/>
      <c r="G38" s="180"/>
      <c r="K38" s="176"/>
    </row>
    <row r="39" spans="1:11" x14ac:dyDescent="0.2">
      <c r="A39" s="184" t="s">
        <v>342</v>
      </c>
      <c r="B39" s="184"/>
      <c r="C39" s="184">
        <f>4*0.0254</f>
        <v>0.1016</v>
      </c>
      <c r="D39" s="184" t="s">
        <v>54</v>
      </c>
      <c r="E39" s="180"/>
      <c r="F39" s="180"/>
      <c r="G39" s="180"/>
      <c r="K39" s="176"/>
    </row>
    <row r="40" spans="1:11" x14ac:dyDescent="0.2">
      <c r="A40" s="180"/>
      <c r="B40" s="180"/>
      <c r="C40" s="180"/>
      <c r="D40" s="180"/>
      <c r="E40" s="180"/>
      <c r="F40" s="180"/>
      <c r="G40" s="180"/>
      <c r="K40" s="176"/>
    </row>
    <row r="41" spans="1:11" x14ac:dyDescent="0.2">
      <c r="A41" s="180"/>
      <c r="B41" s="180"/>
      <c r="C41" s="224" t="s">
        <v>343</v>
      </c>
      <c r="D41" s="229">
        <f>1.518*((C38)^0.693)*C39^1.807</f>
        <v>4.9946612818570456E-3</v>
      </c>
      <c r="E41" s="180" t="s">
        <v>345</v>
      </c>
      <c r="F41" s="180"/>
      <c r="G41" s="180"/>
      <c r="K41" s="176"/>
    </row>
    <row r="42" spans="1:11" x14ac:dyDescent="0.2">
      <c r="A42" s="180"/>
      <c r="B42" s="180"/>
      <c r="C42" s="180"/>
      <c r="D42" s="269">
        <f>D41*1000</f>
        <v>4.9946612818570459</v>
      </c>
      <c r="E42" s="180" t="s">
        <v>346</v>
      </c>
      <c r="F42" s="180"/>
      <c r="G42" s="180"/>
      <c r="K42" s="176"/>
    </row>
    <row r="43" spans="1:11" x14ac:dyDescent="0.2">
      <c r="A43" s="180"/>
      <c r="B43" s="180"/>
      <c r="C43" s="180"/>
      <c r="D43" s="180"/>
      <c r="E43" s="180"/>
      <c r="F43" s="180"/>
      <c r="G43" s="180"/>
      <c r="K43" s="176"/>
    </row>
    <row r="44" spans="1:11" x14ac:dyDescent="0.2">
      <c r="A44" s="180"/>
      <c r="B44" s="180"/>
      <c r="C44" s="180"/>
      <c r="D44" s="180"/>
      <c r="E44" s="180"/>
      <c r="F44" s="180"/>
      <c r="G44" s="180"/>
      <c r="K44" s="176"/>
    </row>
    <row r="45" spans="1:11" x14ac:dyDescent="0.2">
      <c r="A45" s="308"/>
      <c r="B45" s="312"/>
      <c r="C45" s="312"/>
      <c r="D45" s="312"/>
      <c r="E45" s="312"/>
      <c r="F45" s="312"/>
      <c r="G45" s="312"/>
      <c r="H45" s="312"/>
      <c r="K45" s="176"/>
    </row>
    <row r="46" spans="1:11" x14ac:dyDescent="0.2">
      <c r="A46" s="180"/>
      <c r="B46" s="180"/>
      <c r="C46" s="180"/>
      <c r="D46" s="180"/>
      <c r="E46" s="180"/>
      <c r="F46" s="180"/>
      <c r="G46" s="180"/>
    </row>
    <row r="47" spans="1:11" x14ac:dyDescent="0.2">
      <c r="A47" s="181"/>
      <c r="B47" s="180"/>
      <c r="C47" s="180"/>
      <c r="D47" s="180"/>
      <c r="E47" s="180"/>
      <c r="F47" s="180"/>
      <c r="G47" s="180"/>
    </row>
    <row r="48" spans="1:11" x14ac:dyDescent="0.2">
      <c r="A48" s="316"/>
      <c r="B48" s="316"/>
      <c r="C48" s="316"/>
      <c r="D48" s="316"/>
      <c r="E48" s="185"/>
      <c r="G48" s="180"/>
    </row>
    <row r="49" spans="1:11" x14ac:dyDescent="0.2">
      <c r="A49" s="186"/>
      <c r="B49" s="186"/>
      <c r="C49" s="186"/>
      <c r="D49" s="186"/>
      <c r="E49" s="187"/>
      <c r="F49" s="188"/>
      <c r="G49" s="180"/>
      <c r="K49" s="189"/>
    </row>
    <row r="50" spans="1:11" x14ac:dyDescent="0.2">
      <c r="A50" s="186"/>
      <c r="B50" s="190"/>
      <c r="C50" s="190"/>
      <c r="D50" s="180"/>
      <c r="E50" s="180"/>
      <c r="F50" s="180"/>
      <c r="G50" s="180"/>
    </row>
    <row r="51" spans="1:11" x14ac:dyDescent="0.2">
      <c r="A51" s="186"/>
      <c r="B51" s="191"/>
      <c r="C51" s="192"/>
      <c r="D51" s="180"/>
      <c r="E51" s="180"/>
      <c r="F51" s="180"/>
      <c r="G51" s="180"/>
      <c r="K51" s="193"/>
    </row>
    <row r="52" spans="1:11" x14ac:dyDescent="0.2">
      <c r="A52" s="186"/>
      <c r="B52" s="194"/>
      <c r="C52" s="194"/>
      <c r="D52" s="195"/>
      <c r="E52" s="180"/>
      <c r="F52" s="180"/>
      <c r="G52" s="180"/>
      <c r="K52" s="196"/>
    </row>
    <row r="53" spans="1:11" x14ac:dyDescent="0.2">
      <c r="A53" s="186"/>
      <c r="B53" s="197"/>
      <c r="C53" s="198"/>
      <c r="D53" s="199"/>
      <c r="E53" s="180"/>
      <c r="F53" s="180"/>
      <c r="G53" s="180"/>
    </row>
    <row r="54" spans="1:11" x14ac:dyDescent="0.2">
      <c r="A54" s="200"/>
      <c r="B54" s="201"/>
      <c r="C54" s="190"/>
      <c r="D54" s="180"/>
      <c r="E54" s="180"/>
      <c r="F54" s="180"/>
      <c r="G54" s="180"/>
    </row>
    <row r="55" spans="1:11" x14ac:dyDescent="0.2">
      <c r="A55" s="180"/>
      <c r="B55" s="180"/>
      <c r="C55" s="180"/>
      <c r="D55" s="180"/>
      <c r="E55" s="180"/>
      <c r="F55" s="180"/>
      <c r="G55" s="180"/>
    </row>
    <row r="56" spans="1:11" x14ac:dyDescent="0.2">
      <c r="A56" s="318"/>
      <c r="B56" s="318"/>
      <c r="C56" s="318"/>
      <c r="D56" s="318"/>
      <c r="E56" s="318"/>
      <c r="F56" s="318"/>
      <c r="G56" s="318"/>
      <c r="H56" s="318"/>
    </row>
    <row r="57" spans="1:11" x14ac:dyDescent="0.2">
      <c r="A57" s="180"/>
      <c r="B57" s="180"/>
      <c r="C57" s="180"/>
      <c r="D57" s="180"/>
      <c r="E57" s="180"/>
      <c r="F57" s="180"/>
      <c r="G57" s="180"/>
    </row>
    <row r="58" spans="1:11" x14ac:dyDescent="0.2">
      <c r="A58" s="180"/>
      <c r="B58" s="180"/>
      <c r="C58" s="180"/>
      <c r="D58" s="180"/>
      <c r="E58" s="180"/>
      <c r="F58" s="180"/>
      <c r="G58" s="180"/>
    </row>
    <row r="59" spans="1:11" x14ac:dyDescent="0.2">
      <c r="A59" s="180"/>
      <c r="B59" s="180"/>
      <c r="C59" s="180"/>
      <c r="D59" s="180"/>
      <c r="E59" s="180"/>
      <c r="F59" s="180"/>
      <c r="G59" s="180"/>
    </row>
    <row r="60" spans="1:11" x14ac:dyDescent="0.2">
      <c r="A60" s="181"/>
      <c r="B60" s="180"/>
      <c r="C60" s="180"/>
      <c r="D60" s="180"/>
      <c r="E60" s="180"/>
      <c r="F60" s="180"/>
      <c r="G60" s="180"/>
    </row>
    <row r="61" spans="1:11" x14ac:dyDescent="0.2">
      <c r="A61" s="180"/>
      <c r="B61" s="180"/>
      <c r="C61" s="180"/>
      <c r="D61" s="180"/>
      <c r="E61" s="180"/>
      <c r="F61" s="180"/>
      <c r="G61" s="180"/>
    </row>
    <row r="62" spans="1:11" x14ac:dyDescent="0.2">
      <c r="A62" s="180"/>
      <c r="B62" s="180"/>
      <c r="C62" s="180"/>
      <c r="D62" s="180"/>
      <c r="E62" s="180"/>
      <c r="F62" s="180"/>
      <c r="G62" s="180"/>
      <c r="K62" s="176"/>
    </row>
    <row r="63" spans="1:11" x14ac:dyDescent="0.2">
      <c r="A63" s="180"/>
      <c r="B63" s="180"/>
      <c r="C63" s="202"/>
      <c r="D63" s="186"/>
      <c r="E63" s="202"/>
      <c r="G63" s="180"/>
      <c r="K63" s="176"/>
    </row>
    <row r="64" spans="1:11" x14ac:dyDescent="0.2">
      <c r="A64" s="180"/>
      <c r="B64" s="180"/>
      <c r="C64" s="202"/>
      <c r="D64" s="187"/>
      <c r="E64" s="180"/>
      <c r="F64" s="180"/>
      <c r="G64" s="180"/>
      <c r="K64" s="176"/>
    </row>
    <row r="65" spans="1:11" x14ac:dyDescent="0.2">
      <c r="A65" s="180"/>
      <c r="B65" s="180"/>
      <c r="C65" s="187"/>
      <c r="D65" s="188"/>
      <c r="E65" s="180"/>
      <c r="F65" s="180"/>
      <c r="G65" s="180"/>
      <c r="K65" s="176"/>
    </row>
    <row r="66" spans="1:11" x14ac:dyDescent="0.2">
      <c r="A66" s="180"/>
      <c r="B66" s="180"/>
      <c r="C66" s="187"/>
      <c r="D66" s="188"/>
      <c r="E66" s="180"/>
      <c r="F66" s="180"/>
      <c r="G66" s="180"/>
      <c r="K66" s="176"/>
    </row>
    <row r="67" spans="1:11" x14ac:dyDescent="0.2">
      <c r="A67" s="180"/>
      <c r="B67" s="180"/>
      <c r="C67" s="187"/>
      <c r="D67" s="180"/>
      <c r="E67" s="180"/>
      <c r="F67" s="180"/>
      <c r="G67" s="180"/>
      <c r="K67" s="176"/>
    </row>
    <row r="68" spans="1:11" x14ac:dyDescent="0.2">
      <c r="A68" s="181"/>
      <c r="B68" s="180"/>
      <c r="C68" s="180"/>
      <c r="D68" s="180"/>
      <c r="E68" s="180"/>
      <c r="F68" s="180"/>
      <c r="G68" s="180"/>
      <c r="K68" s="176"/>
    </row>
    <row r="69" spans="1:11" x14ac:dyDescent="0.2">
      <c r="A69" s="186"/>
      <c r="B69" s="203"/>
      <c r="C69" s="180"/>
      <c r="D69" s="180"/>
      <c r="E69" s="180"/>
      <c r="F69" s="180"/>
      <c r="G69" s="180"/>
      <c r="K69" s="176"/>
    </row>
    <row r="70" spans="1:11" x14ac:dyDescent="0.2">
      <c r="A70" s="186"/>
      <c r="B70" s="204"/>
      <c r="C70" s="180"/>
      <c r="D70" s="180"/>
      <c r="E70" s="180"/>
      <c r="F70" s="180"/>
      <c r="G70" s="180"/>
      <c r="K70" s="176"/>
    </row>
    <row r="71" spans="1:11" x14ac:dyDescent="0.2">
      <c r="A71" s="181"/>
      <c r="B71" s="180"/>
      <c r="C71" s="180"/>
      <c r="D71" s="180"/>
      <c r="E71" s="180"/>
      <c r="F71" s="180"/>
      <c r="G71" s="180"/>
      <c r="K71" s="176"/>
    </row>
    <row r="72" spans="1:11" x14ac:dyDescent="0.2">
      <c r="A72" s="181"/>
      <c r="B72" s="180"/>
      <c r="C72" s="180"/>
      <c r="D72" s="180"/>
      <c r="E72" s="180"/>
      <c r="F72" s="180"/>
      <c r="G72" s="180"/>
      <c r="K72" s="176"/>
    </row>
    <row r="73" spans="1:11" x14ac:dyDescent="0.2">
      <c r="A73" s="180"/>
      <c r="B73" s="180"/>
      <c r="C73" s="180"/>
      <c r="D73" s="185"/>
      <c r="E73" s="187"/>
      <c r="G73" s="180"/>
      <c r="K73" s="176"/>
    </row>
    <row r="74" spans="1:11" x14ac:dyDescent="0.2">
      <c r="A74" s="180"/>
      <c r="B74" s="180"/>
      <c r="C74" s="180"/>
      <c r="D74" s="202"/>
      <c r="E74" s="188"/>
      <c r="G74" s="180"/>
      <c r="K74" s="176"/>
    </row>
    <row r="75" spans="1:11" x14ac:dyDescent="0.2">
      <c r="A75" s="180"/>
      <c r="B75" s="180"/>
      <c r="D75" s="202"/>
      <c r="E75" s="188"/>
      <c r="G75" s="180"/>
      <c r="K75" s="176"/>
    </row>
    <row r="76" spans="1:11" x14ac:dyDescent="0.2">
      <c r="A76" s="180"/>
      <c r="B76" s="180"/>
      <c r="D76" s="202"/>
      <c r="E76" s="188"/>
      <c r="G76" s="180"/>
      <c r="K76" s="176"/>
    </row>
    <row r="77" spans="1:11" x14ac:dyDescent="0.2">
      <c r="A77" s="180"/>
      <c r="B77" s="180"/>
      <c r="D77" s="202"/>
      <c r="E77" s="202"/>
      <c r="G77" s="180"/>
      <c r="K77" s="176"/>
    </row>
    <row r="78" spans="1:11" x14ac:dyDescent="0.2">
      <c r="A78" s="180"/>
      <c r="B78" s="180"/>
      <c r="D78" s="202"/>
      <c r="E78" s="188"/>
      <c r="G78" s="180"/>
      <c r="K78" s="176"/>
    </row>
    <row r="79" spans="1:11" x14ac:dyDescent="0.2">
      <c r="A79" s="180"/>
      <c r="B79" s="180"/>
      <c r="D79" s="202"/>
      <c r="E79" s="188"/>
      <c r="G79" s="180"/>
      <c r="K79" s="176"/>
    </row>
    <row r="80" spans="1:11" x14ac:dyDescent="0.2">
      <c r="A80" s="180"/>
      <c r="B80" s="180"/>
      <c r="D80" s="202"/>
      <c r="E80" s="188"/>
      <c r="G80" s="180"/>
      <c r="K80" s="176"/>
    </row>
    <row r="81" spans="1:11" x14ac:dyDescent="0.2">
      <c r="A81" s="180"/>
      <c r="B81" s="180"/>
      <c r="D81" s="205"/>
      <c r="E81" s="188"/>
      <c r="G81" s="180"/>
      <c r="K81" s="176"/>
    </row>
    <row r="82" spans="1:11" x14ac:dyDescent="0.2">
      <c r="A82" s="180"/>
      <c r="B82" s="180"/>
      <c r="C82" s="206"/>
      <c r="D82" s="207"/>
      <c r="E82" s="181"/>
      <c r="F82" s="180"/>
      <c r="K82" s="176"/>
    </row>
    <row r="83" spans="1:11" x14ac:dyDescent="0.2">
      <c r="A83" s="316"/>
      <c r="B83" s="316"/>
      <c r="C83" s="208"/>
      <c r="D83" s="180"/>
      <c r="E83" s="180"/>
      <c r="F83" s="180"/>
      <c r="G83" s="180"/>
      <c r="K83" s="176"/>
    </row>
    <row r="84" spans="1:11" x14ac:dyDescent="0.2">
      <c r="A84" s="316"/>
      <c r="B84" s="316"/>
      <c r="C84" s="209"/>
      <c r="D84" s="319"/>
      <c r="E84" s="320"/>
      <c r="F84" s="320"/>
      <c r="G84" s="320"/>
      <c r="H84" s="320"/>
      <c r="K84" s="176"/>
    </row>
    <row r="85" spans="1:11" x14ac:dyDescent="0.2">
      <c r="B85" s="186"/>
      <c r="C85" s="210"/>
      <c r="D85" s="211"/>
      <c r="E85" s="212"/>
      <c r="F85" s="212"/>
      <c r="G85" s="212"/>
      <c r="H85" s="212"/>
      <c r="K85" s="176"/>
    </row>
    <row r="86" spans="1:11" x14ac:dyDescent="0.2">
      <c r="B86" s="186"/>
      <c r="C86" s="213"/>
      <c r="D86" s="199"/>
      <c r="E86" s="212"/>
      <c r="F86" s="212"/>
      <c r="G86" s="212"/>
      <c r="H86" s="212"/>
      <c r="K86" s="176"/>
    </row>
    <row r="87" spans="1:11" x14ac:dyDescent="0.2">
      <c r="B87" s="186"/>
      <c r="C87" s="214"/>
      <c r="D87" s="199"/>
      <c r="E87" s="212"/>
      <c r="F87" s="212"/>
      <c r="G87" s="212"/>
      <c r="H87" s="212"/>
      <c r="K87" s="176"/>
    </row>
    <row r="88" spans="1:11" x14ac:dyDescent="0.2">
      <c r="A88" s="316"/>
      <c r="B88" s="316"/>
      <c r="C88" s="215"/>
      <c r="D88" s="187"/>
      <c r="F88" s="180"/>
      <c r="G88" s="180"/>
      <c r="H88" s="212"/>
      <c r="K88" s="176"/>
    </row>
    <row r="89" spans="1:11" x14ac:dyDescent="0.2">
      <c r="A89" s="180"/>
      <c r="B89" s="180"/>
      <c r="C89" s="216"/>
      <c r="D89" s="207"/>
      <c r="G89" s="180"/>
      <c r="H89" s="212"/>
      <c r="K89" s="176"/>
    </row>
    <row r="90" spans="1:11" x14ac:dyDescent="0.2">
      <c r="A90" s="181"/>
      <c r="B90" s="180"/>
      <c r="C90" s="180"/>
      <c r="D90" s="180"/>
      <c r="E90" s="180"/>
      <c r="F90" s="180"/>
      <c r="G90" s="180"/>
      <c r="K90" s="176"/>
    </row>
    <row r="91" spans="1:11" x14ac:dyDescent="0.2">
      <c r="A91" s="180"/>
      <c r="B91" s="180"/>
      <c r="C91" s="180"/>
      <c r="D91" s="180"/>
      <c r="E91" s="180"/>
      <c r="F91" s="180"/>
      <c r="G91" s="180"/>
      <c r="K91" s="176"/>
    </row>
    <row r="92" spans="1:11" x14ac:dyDescent="0.2">
      <c r="A92" s="321"/>
      <c r="B92" s="321"/>
      <c r="C92" s="321"/>
      <c r="D92" s="321"/>
      <c r="E92" s="321"/>
      <c r="F92" s="321"/>
      <c r="G92" s="321"/>
      <c r="H92" s="321"/>
      <c r="K92" s="176"/>
    </row>
    <row r="93" spans="1:11" x14ac:dyDescent="0.2">
      <c r="A93" s="217"/>
      <c r="B93" s="218"/>
      <c r="C93" s="218"/>
      <c r="D93" s="218"/>
      <c r="E93" s="218"/>
      <c r="F93" s="218"/>
      <c r="G93" s="180"/>
      <c r="K93" s="176"/>
    </row>
    <row r="94" spans="1:11" x14ac:dyDescent="0.2">
      <c r="A94" s="308"/>
      <c r="B94" s="308"/>
      <c r="C94" s="308"/>
      <c r="D94" s="308"/>
      <c r="E94" s="308"/>
      <c r="F94" s="308"/>
      <c r="G94" s="308"/>
      <c r="H94" s="308"/>
      <c r="K94" s="176"/>
    </row>
    <row r="95" spans="1:11" x14ac:dyDescent="0.2">
      <c r="A95" s="219"/>
      <c r="B95" s="220"/>
      <c r="C95" s="220"/>
      <c r="D95" s="220"/>
      <c r="E95" s="220"/>
      <c r="F95" s="220"/>
      <c r="G95" s="180"/>
      <c r="K95" s="176"/>
    </row>
    <row r="96" spans="1:11" x14ac:dyDescent="0.2">
      <c r="A96" s="321"/>
      <c r="B96" s="322"/>
      <c r="C96" s="322"/>
      <c r="D96" s="322"/>
      <c r="E96" s="322"/>
      <c r="F96" s="322"/>
      <c r="G96" s="180"/>
      <c r="K96" s="176"/>
    </row>
    <row r="97" spans="1:11" x14ac:dyDescent="0.2">
      <c r="A97" s="221"/>
      <c r="B97" s="222"/>
      <c r="C97" s="222"/>
      <c r="D97" s="222"/>
      <c r="E97" s="222"/>
      <c r="F97" s="222"/>
      <c r="G97" s="180"/>
      <c r="K97" s="176"/>
    </row>
    <row r="98" spans="1:11" x14ac:dyDescent="0.2">
      <c r="A98" s="308"/>
      <c r="B98" s="308"/>
      <c r="C98" s="308"/>
      <c r="D98" s="308"/>
      <c r="E98" s="308"/>
      <c r="F98" s="308"/>
      <c r="G98" s="308"/>
      <c r="H98" s="308"/>
      <c r="K98" s="176"/>
    </row>
    <row r="99" spans="1:11" x14ac:dyDescent="0.2">
      <c r="A99" s="219"/>
      <c r="B99" s="219"/>
      <c r="C99" s="219"/>
      <c r="D99" s="219"/>
      <c r="E99" s="219"/>
      <c r="F99" s="219"/>
      <c r="G99" s="219"/>
      <c r="H99" s="219"/>
      <c r="K99" s="176"/>
    </row>
    <row r="100" spans="1:11" x14ac:dyDescent="0.2">
      <c r="A100" s="317"/>
      <c r="B100" s="317"/>
      <c r="C100" s="317"/>
      <c r="D100" s="317"/>
      <c r="E100" s="317"/>
      <c r="F100" s="317"/>
      <c r="G100" s="180"/>
      <c r="K100" s="176"/>
    </row>
    <row r="101" spans="1:11" x14ac:dyDescent="0.2">
      <c r="A101" s="223"/>
      <c r="B101" s="223"/>
      <c r="C101" s="223"/>
      <c r="D101" s="223"/>
      <c r="E101" s="223"/>
      <c r="F101" s="223"/>
      <c r="G101" s="180"/>
      <c r="K101" s="176"/>
    </row>
    <row r="102" spans="1:11" x14ac:dyDescent="0.2">
      <c r="A102" s="313"/>
      <c r="B102" s="313"/>
      <c r="C102" s="313"/>
      <c r="D102" s="313"/>
      <c r="E102" s="313"/>
      <c r="F102" s="313"/>
      <c r="G102" s="314"/>
      <c r="H102" s="314"/>
      <c r="K102" s="176"/>
    </row>
    <row r="103" spans="1:11" x14ac:dyDescent="0.2">
      <c r="A103" s="308"/>
      <c r="B103" s="308"/>
      <c r="C103" s="308"/>
      <c r="D103" s="308"/>
      <c r="E103" s="308"/>
      <c r="F103" s="308"/>
      <c r="G103" s="308"/>
      <c r="H103" s="308"/>
      <c r="K103" s="176"/>
    </row>
    <row r="104" spans="1:11" x14ac:dyDescent="0.2">
      <c r="A104" s="219"/>
      <c r="B104" s="219"/>
      <c r="C104" s="219"/>
      <c r="D104" s="219"/>
      <c r="E104" s="219"/>
      <c r="F104" s="219"/>
      <c r="G104" s="219"/>
      <c r="H104" s="219"/>
      <c r="K104" s="176"/>
    </row>
    <row r="105" spans="1:11" x14ac:dyDescent="0.2">
      <c r="A105" s="315"/>
      <c r="B105" s="315"/>
      <c r="C105" s="315"/>
      <c r="D105" s="315"/>
      <c r="E105" s="315"/>
      <c r="F105" s="315"/>
      <c r="G105" s="315"/>
      <c r="H105" s="315"/>
      <c r="K105" s="176"/>
    </row>
    <row r="106" spans="1:11" x14ac:dyDescent="0.2">
      <c r="A106" s="224"/>
      <c r="B106" s="224"/>
      <c r="C106" s="224"/>
      <c r="D106" s="224"/>
      <c r="E106" s="224"/>
      <c r="F106" s="224"/>
      <c r="G106" s="224"/>
      <c r="H106" s="224"/>
      <c r="K106" s="176"/>
    </row>
    <row r="107" spans="1:11" x14ac:dyDescent="0.2">
      <c r="A107" s="315"/>
      <c r="B107" s="315"/>
      <c r="C107" s="315"/>
      <c r="D107" s="315"/>
      <c r="E107" s="315"/>
      <c r="F107" s="315"/>
      <c r="G107" s="315"/>
      <c r="H107" s="315"/>
      <c r="K107" s="176"/>
    </row>
    <row r="108" spans="1:11" x14ac:dyDescent="0.2">
      <c r="A108" s="224"/>
      <c r="B108" s="224"/>
      <c r="C108" s="224"/>
      <c r="D108" s="224"/>
      <c r="E108" s="224"/>
      <c r="F108" s="224"/>
      <c r="G108" s="224"/>
      <c r="H108" s="224"/>
      <c r="K108" s="176"/>
    </row>
    <row r="109" spans="1:11" x14ac:dyDescent="0.2">
      <c r="A109" s="187"/>
      <c r="B109" s="224"/>
      <c r="C109" s="224"/>
      <c r="D109" s="224"/>
      <c r="E109" s="224"/>
      <c r="F109" s="224"/>
      <c r="G109" s="224"/>
      <c r="H109" s="224"/>
      <c r="K109" s="176"/>
    </row>
    <row r="110" spans="1:11" x14ac:dyDescent="0.2">
      <c r="A110" s="186"/>
      <c r="B110" s="225"/>
      <c r="C110" s="180"/>
      <c r="D110" s="224"/>
      <c r="F110" s="226"/>
      <c r="G110" s="227"/>
      <c r="H110" s="227"/>
      <c r="K110" s="176"/>
    </row>
    <row r="111" spans="1:11" x14ac:dyDescent="0.2">
      <c r="A111" s="186"/>
      <c r="B111" s="225"/>
      <c r="C111" s="180"/>
      <c r="D111" s="224"/>
      <c r="E111" s="224"/>
      <c r="F111" s="228"/>
      <c r="G111" s="229"/>
      <c r="H111" s="187"/>
      <c r="K111" s="176"/>
    </row>
    <row r="112" spans="1:11" x14ac:dyDescent="0.2">
      <c r="A112" s="186"/>
      <c r="B112" s="229"/>
      <c r="C112" s="187"/>
      <c r="D112" s="224"/>
      <c r="E112" s="224"/>
      <c r="F112" s="228"/>
      <c r="G112" s="229"/>
      <c r="H112" s="224"/>
      <c r="K112" s="176"/>
    </row>
    <row r="113" spans="1:11" x14ac:dyDescent="0.2">
      <c r="A113" s="186"/>
      <c r="B113" s="230"/>
      <c r="C113" s="187"/>
      <c r="D113" s="224"/>
      <c r="E113" s="224"/>
      <c r="F113" s="228"/>
      <c r="G113" s="229"/>
      <c r="H113" s="224"/>
      <c r="K113" s="176"/>
    </row>
    <row r="114" spans="1:11" x14ac:dyDescent="0.2">
      <c r="A114" s="186"/>
      <c r="B114" s="231"/>
      <c r="C114" s="180"/>
      <c r="D114" s="224"/>
      <c r="E114" s="224"/>
      <c r="F114" s="228"/>
      <c r="G114" s="229"/>
      <c r="H114" s="224"/>
      <c r="K114" s="176"/>
    </row>
    <row r="115" spans="1:11" x14ac:dyDescent="0.2">
      <c r="D115" s="224"/>
      <c r="E115" s="224"/>
      <c r="F115" s="228"/>
      <c r="G115" s="229"/>
      <c r="H115" s="224"/>
      <c r="K115" s="176"/>
    </row>
    <row r="116" spans="1:11" x14ac:dyDescent="0.2">
      <c r="A116" s="224"/>
      <c r="B116" s="224"/>
      <c r="C116" s="224"/>
      <c r="D116" s="224"/>
      <c r="E116" s="224"/>
      <c r="F116" s="228"/>
      <c r="G116" s="229"/>
      <c r="H116" s="224"/>
      <c r="K116" s="176"/>
    </row>
    <row r="117" spans="1:11" x14ac:dyDescent="0.2">
      <c r="B117" s="224"/>
      <c r="C117" s="224"/>
      <c r="D117" s="224"/>
      <c r="E117" s="180"/>
      <c r="F117" s="180"/>
      <c r="G117" s="180"/>
      <c r="K117" s="176"/>
    </row>
    <row r="118" spans="1:11" x14ac:dyDescent="0.2">
      <c r="B118" s="224"/>
      <c r="C118" s="224"/>
      <c r="D118" s="224"/>
      <c r="E118" s="232"/>
      <c r="F118" s="180"/>
      <c r="G118" s="180"/>
      <c r="K118" s="176"/>
    </row>
    <row r="119" spans="1:11" x14ac:dyDescent="0.2">
      <c r="B119" s="225"/>
      <c r="C119" s="225"/>
      <c r="D119" s="225"/>
      <c r="E119" s="180"/>
      <c r="F119" s="180"/>
      <c r="G119" s="180"/>
      <c r="K119" s="176"/>
    </row>
    <row r="120" spans="1:11" x14ac:dyDescent="0.2">
      <c r="B120" s="225"/>
      <c r="C120" s="225"/>
      <c r="D120" s="225"/>
      <c r="E120" s="180"/>
      <c r="F120" s="180"/>
      <c r="G120" s="180"/>
      <c r="K120" s="176"/>
    </row>
    <row r="121" spans="1:11" x14ac:dyDescent="0.2">
      <c r="B121" s="229"/>
      <c r="C121" s="225"/>
      <c r="D121" s="225"/>
      <c r="E121" s="232"/>
      <c r="F121" s="180"/>
      <c r="G121" s="180"/>
      <c r="K121" s="176"/>
    </row>
    <row r="122" spans="1:11" x14ac:dyDescent="0.2">
      <c r="B122" s="229"/>
      <c r="C122" s="225"/>
      <c r="D122" s="182"/>
      <c r="E122" s="180"/>
      <c r="F122" s="180"/>
      <c r="G122" s="180"/>
      <c r="K122" s="176"/>
    </row>
    <row r="123" spans="1:11" x14ac:dyDescent="0.2">
      <c r="B123" s="225"/>
      <c r="C123" s="225"/>
      <c r="D123" s="225"/>
      <c r="E123" s="180"/>
      <c r="F123" s="180"/>
      <c r="G123" s="180"/>
      <c r="K123" s="176"/>
    </row>
    <row r="124" spans="1:11" x14ac:dyDescent="0.2">
      <c r="B124" s="225"/>
      <c r="C124" s="225"/>
      <c r="D124" s="225"/>
      <c r="E124" s="180"/>
      <c r="F124" s="180"/>
      <c r="G124" s="180"/>
      <c r="K124" s="176"/>
    </row>
    <row r="125" spans="1:11" x14ac:dyDescent="0.2">
      <c r="A125" s="180"/>
      <c r="B125" s="180"/>
      <c r="C125" s="180"/>
      <c r="D125" s="180"/>
      <c r="E125" s="180"/>
      <c r="F125" s="180"/>
      <c r="G125" s="180"/>
      <c r="K125" s="176"/>
    </row>
    <row r="126" spans="1:11" x14ac:dyDescent="0.2">
      <c r="B126" s="186"/>
      <c r="C126" s="185"/>
      <c r="D126" s="187"/>
      <c r="E126" s="180"/>
      <c r="F126" s="180"/>
      <c r="G126" s="180"/>
      <c r="K126" s="176"/>
    </row>
    <row r="127" spans="1:11" x14ac:dyDescent="0.2">
      <c r="B127" s="186"/>
      <c r="C127" s="202"/>
      <c r="D127" s="233"/>
      <c r="E127" s="180"/>
      <c r="F127" s="180"/>
      <c r="G127" s="180"/>
      <c r="K127" s="176"/>
    </row>
    <row r="128" spans="1:11" x14ac:dyDescent="0.2">
      <c r="A128" s="187"/>
      <c r="B128" s="180"/>
      <c r="C128" s="180"/>
      <c r="D128" s="180"/>
      <c r="E128" s="180"/>
      <c r="F128" s="180"/>
      <c r="G128" s="180"/>
      <c r="K128" s="176"/>
    </row>
    <row r="129" spans="1:11" x14ac:dyDescent="0.2">
      <c r="A129" s="180"/>
      <c r="B129" s="186"/>
      <c r="C129" s="234"/>
      <c r="D129" s="187"/>
      <c r="E129" s="180"/>
      <c r="F129" s="180"/>
      <c r="G129" s="180"/>
      <c r="K129" s="176"/>
    </row>
    <row r="130" spans="1:11" x14ac:dyDescent="0.2">
      <c r="A130" s="180"/>
      <c r="B130" s="186"/>
      <c r="C130" s="235"/>
      <c r="D130" s="187"/>
      <c r="E130" s="180"/>
      <c r="F130" s="180"/>
      <c r="G130" s="180"/>
      <c r="K130" s="176"/>
    </row>
    <row r="131" spans="1:11" x14ac:dyDescent="0.2">
      <c r="A131" s="180"/>
      <c r="B131" s="180"/>
      <c r="C131" s="180"/>
      <c r="D131" s="181"/>
      <c r="E131" s="180"/>
      <c r="F131" s="180"/>
      <c r="G131" s="180"/>
      <c r="K131" s="176"/>
    </row>
    <row r="132" spans="1:11" x14ac:dyDescent="0.2">
      <c r="A132" s="180"/>
      <c r="B132" s="180"/>
      <c r="C132" s="180"/>
      <c r="D132" s="180"/>
      <c r="E132" s="180"/>
      <c r="F132" s="180"/>
      <c r="G132" s="180"/>
      <c r="K132" s="176"/>
    </row>
    <row r="133" spans="1:11" x14ac:dyDescent="0.2">
      <c r="A133" s="186"/>
      <c r="B133" s="236"/>
      <c r="C133" s="180"/>
      <c r="D133" s="180"/>
      <c r="E133" s="180"/>
      <c r="F133" s="180"/>
      <c r="G133" s="180"/>
      <c r="K133" s="176"/>
    </row>
    <row r="134" spans="1:11" x14ac:dyDescent="0.2">
      <c r="A134" s="186"/>
      <c r="B134" s="234"/>
      <c r="C134" s="180"/>
      <c r="D134" s="204"/>
      <c r="E134" s="180"/>
      <c r="F134" s="180"/>
      <c r="G134" s="180"/>
      <c r="K134" s="176"/>
    </row>
    <row r="135" spans="1:11" x14ac:dyDescent="0.2">
      <c r="A135" s="186"/>
      <c r="B135" s="237"/>
      <c r="C135" s="238"/>
      <c r="D135" s="180"/>
      <c r="E135" s="180"/>
      <c r="F135" s="239"/>
      <c r="G135" s="180"/>
      <c r="K135" s="176"/>
    </row>
    <row r="136" spans="1:11" x14ac:dyDescent="0.2">
      <c r="A136" s="186"/>
      <c r="B136" s="240"/>
      <c r="C136" s="241"/>
      <c r="E136" s="180"/>
      <c r="F136" s="180"/>
      <c r="G136" s="180"/>
      <c r="K136" s="176"/>
    </row>
    <row r="137" spans="1:11" x14ac:dyDescent="0.2">
      <c r="A137" s="186"/>
      <c r="B137" s="242"/>
      <c r="C137" s="235"/>
      <c r="E137" s="180"/>
      <c r="F137" s="180"/>
      <c r="G137" s="180"/>
      <c r="K137" s="176"/>
    </row>
    <row r="138" spans="1:11" x14ac:dyDescent="0.2">
      <c r="A138" s="187"/>
      <c r="B138" s="243"/>
      <c r="C138" s="235"/>
      <c r="D138" s="244"/>
      <c r="E138" s="245"/>
      <c r="F138" s="180"/>
      <c r="G138" s="180"/>
      <c r="K138" s="176"/>
    </row>
    <row r="139" spans="1:11" x14ac:dyDescent="0.2">
      <c r="A139" s="186"/>
      <c r="B139" s="246"/>
      <c r="C139" s="180"/>
      <c r="D139" s="247"/>
      <c r="E139" s="180"/>
      <c r="F139" s="180"/>
      <c r="G139" s="180"/>
      <c r="K139" s="176"/>
    </row>
    <row r="140" spans="1:11" x14ac:dyDescent="0.2">
      <c r="A140" s="181"/>
      <c r="B140" s="180"/>
      <c r="C140" s="180"/>
      <c r="D140" s="180"/>
      <c r="E140" s="180"/>
      <c r="F140" s="180"/>
      <c r="G140" s="180"/>
      <c r="K140" s="176"/>
    </row>
    <row r="141" spans="1:11" x14ac:dyDescent="0.2">
      <c r="A141" s="180"/>
      <c r="B141" s="180"/>
      <c r="C141" s="180"/>
      <c r="D141" s="180"/>
      <c r="E141" s="180"/>
      <c r="F141" s="180"/>
      <c r="G141" s="180"/>
      <c r="K141" s="176"/>
    </row>
    <row r="142" spans="1:11" x14ac:dyDescent="0.2">
      <c r="A142" s="180"/>
      <c r="B142" s="180"/>
      <c r="C142" s="180"/>
      <c r="D142" s="180"/>
      <c r="E142" s="180"/>
      <c r="F142" s="180"/>
      <c r="G142" s="180"/>
      <c r="K142" s="176"/>
    </row>
    <row r="143" spans="1:11" x14ac:dyDescent="0.2">
      <c r="A143" s="316"/>
      <c r="B143" s="316"/>
      <c r="C143" s="316"/>
      <c r="D143" s="203"/>
      <c r="E143" s="180"/>
      <c r="F143" s="180"/>
      <c r="G143" s="180"/>
      <c r="K143" s="176"/>
    </row>
    <row r="144" spans="1:11" x14ac:dyDescent="0.2">
      <c r="A144" s="316"/>
      <c r="B144" s="316"/>
      <c r="C144" s="316"/>
      <c r="D144" s="203"/>
      <c r="E144" s="248"/>
      <c r="F144" s="180"/>
      <c r="G144" s="180"/>
      <c r="K144" s="176"/>
    </row>
    <row r="145" spans="1:11" x14ac:dyDescent="0.2">
      <c r="A145" s="186"/>
      <c r="B145" s="186"/>
      <c r="C145" s="186"/>
      <c r="D145" s="180"/>
      <c r="E145" s="180"/>
      <c r="F145" s="180"/>
      <c r="G145" s="180"/>
      <c r="K145" s="176"/>
    </row>
    <row r="146" spans="1:11" x14ac:dyDescent="0.2">
      <c r="A146" s="180"/>
      <c r="B146" s="180"/>
      <c r="C146" s="180"/>
      <c r="D146" s="180"/>
      <c r="E146" s="180"/>
      <c r="F146" s="180"/>
      <c r="G146" s="180"/>
      <c r="K146" s="176"/>
    </row>
    <row r="147" spans="1:11" x14ac:dyDescent="0.2">
      <c r="A147" s="180"/>
      <c r="B147" s="180"/>
      <c r="C147" s="180"/>
      <c r="D147" s="180"/>
      <c r="E147" s="180"/>
      <c r="F147" s="180"/>
      <c r="G147" s="180"/>
      <c r="K147" s="176"/>
    </row>
    <row r="148" spans="1:11" x14ac:dyDescent="0.2">
      <c r="A148" s="316"/>
      <c r="B148" s="316"/>
      <c r="C148" s="316"/>
      <c r="D148" s="202"/>
      <c r="E148" s="241"/>
      <c r="F148" s="180"/>
      <c r="G148" s="180"/>
      <c r="K148" s="176"/>
    </row>
    <row r="149" spans="1:11" x14ac:dyDescent="0.2">
      <c r="A149" s="316"/>
      <c r="B149" s="316"/>
      <c r="C149" s="316"/>
      <c r="D149" s="239"/>
      <c r="E149" s="180"/>
      <c r="F149" s="180"/>
      <c r="G149" s="180"/>
      <c r="K149" s="176"/>
    </row>
    <row r="150" spans="1:11" x14ac:dyDescent="0.2">
      <c r="A150" s="316"/>
      <c r="B150" s="316"/>
      <c r="C150" s="316"/>
      <c r="D150" s="235"/>
      <c r="E150" s="187"/>
      <c r="F150" s="180"/>
      <c r="G150" s="180"/>
      <c r="K150" s="176"/>
    </row>
    <row r="151" spans="1:11" x14ac:dyDescent="0.2">
      <c r="A151" s="316"/>
      <c r="B151" s="316"/>
      <c r="C151" s="316"/>
      <c r="D151" s="243"/>
      <c r="E151" s="249"/>
      <c r="F151" s="224"/>
      <c r="G151" s="250"/>
      <c r="K151" s="176"/>
    </row>
    <row r="152" spans="1:11" x14ac:dyDescent="0.2">
      <c r="A152" s="180"/>
      <c r="B152" s="180"/>
      <c r="C152" s="180"/>
      <c r="D152" s="180"/>
      <c r="E152" s="180"/>
      <c r="F152" s="180"/>
      <c r="G152" s="180"/>
      <c r="K152" s="176"/>
    </row>
    <row r="153" spans="1:11" x14ac:dyDescent="0.2">
      <c r="A153" s="183"/>
      <c r="B153" s="184"/>
      <c r="C153" s="184"/>
      <c r="D153" s="184"/>
      <c r="E153" s="184"/>
      <c r="K153" s="176"/>
    </row>
    <row r="154" spans="1:11" x14ac:dyDescent="0.2">
      <c r="A154" s="183"/>
      <c r="B154" s="184"/>
      <c r="C154" s="184"/>
      <c r="D154" s="184"/>
      <c r="E154" s="184"/>
      <c r="K154" s="176"/>
    </row>
    <row r="155" spans="1:11" x14ac:dyDescent="0.2">
      <c r="A155" s="308"/>
      <c r="B155" s="308"/>
      <c r="C155" s="308"/>
      <c r="D155" s="308"/>
      <c r="E155" s="308"/>
      <c r="F155" s="308"/>
      <c r="G155" s="308"/>
      <c r="H155" s="308"/>
      <c r="K155" s="176"/>
    </row>
    <row r="156" spans="1:11" x14ac:dyDescent="0.2">
      <c r="A156" s="183"/>
      <c r="B156" s="184"/>
      <c r="C156" s="184"/>
      <c r="D156" s="184"/>
      <c r="E156" s="184"/>
      <c r="K156" s="176"/>
    </row>
    <row r="157" spans="1:11" x14ac:dyDescent="0.2">
      <c r="A157" s="309"/>
      <c r="B157" s="309"/>
      <c r="C157" s="309"/>
      <c r="D157" s="309"/>
      <c r="E157" s="309"/>
      <c r="F157" s="309"/>
      <c r="G157" s="309"/>
      <c r="H157" s="309"/>
      <c r="K157" s="176"/>
    </row>
    <row r="158" spans="1:11" x14ac:dyDescent="0.2">
      <c r="A158" s="183"/>
      <c r="B158" s="184"/>
      <c r="C158" s="184"/>
      <c r="D158" s="184"/>
      <c r="E158" s="184"/>
      <c r="K158" s="176"/>
    </row>
    <row r="159" spans="1:11" x14ac:dyDescent="0.2">
      <c r="A159" s="184"/>
      <c r="B159" s="184"/>
      <c r="C159" s="184"/>
      <c r="D159" s="184"/>
      <c r="E159" s="184"/>
      <c r="K159" s="176"/>
    </row>
    <row r="160" spans="1:11" x14ac:dyDescent="0.2">
      <c r="A160" s="183"/>
      <c r="B160" s="184"/>
      <c r="C160" s="184"/>
      <c r="D160" s="184"/>
      <c r="E160" s="184"/>
      <c r="K160" s="176"/>
    </row>
    <row r="161" spans="1:11" x14ac:dyDescent="0.2">
      <c r="A161" s="184"/>
      <c r="B161" s="184"/>
      <c r="C161" s="184"/>
      <c r="D161" s="184"/>
      <c r="E161" s="184"/>
      <c r="K161" s="176"/>
    </row>
    <row r="162" spans="1:11" x14ac:dyDescent="0.2">
      <c r="A162" s="184"/>
      <c r="B162" s="184"/>
      <c r="C162" s="184"/>
      <c r="D162" s="184"/>
      <c r="E162" s="184"/>
      <c r="K162" s="176"/>
    </row>
    <row r="163" spans="1:11" x14ac:dyDescent="0.2">
      <c r="A163" s="184"/>
      <c r="B163" s="184"/>
      <c r="C163" s="184"/>
      <c r="D163" s="184"/>
      <c r="E163" s="184"/>
      <c r="K163" s="176"/>
    </row>
    <row r="164" spans="1:11" x14ac:dyDescent="0.2">
      <c r="A164" s="183"/>
      <c r="B164" s="184"/>
      <c r="C164" s="184"/>
      <c r="D164" s="184"/>
      <c r="E164" s="184"/>
      <c r="K164" s="176"/>
    </row>
    <row r="165" spans="1:11" x14ac:dyDescent="0.2">
      <c r="A165" s="308"/>
      <c r="B165" s="308"/>
      <c r="C165" s="308"/>
      <c r="D165" s="308"/>
      <c r="E165" s="308"/>
      <c r="F165" s="308"/>
      <c r="G165" s="308"/>
      <c r="H165" s="308"/>
      <c r="K165" s="176"/>
    </row>
    <row r="166" spans="1:11" x14ac:dyDescent="0.2">
      <c r="A166" s="183"/>
      <c r="B166" s="184"/>
      <c r="C166" s="184"/>
      <c r="D166" s="184"/>
      <c r="E166" s="184"/>
      <c r="K166" s="176"/>
    </row>
    <row r="167" spans="1:11" x14ac:dyDescent="0.2">
      <c r="A167" s="184"/>
      <c r="B167" s="251"/>
      <c r="C167" s="251"/>
      <c r="D167" s="251"/>
      <c r="E167" s="251"/>
      <c r="K167" s="176"/>
    </row>
    <row r="168" spans="1:11" x14ac:dyDescent="0.2">
      <c r="A168" s="184"/>
      <c r="B168" s="252"/>
      <c r="C168" s="253"/>
      <c r="D168" s="254"/>
      <c r="E168" s="228"/>
      <c r="K168" s="176"/>
    </row>
    <row r="169" spans="1:11" x14ac:dyDescent="0.2">
      <c r="A169" s="184"/>
      <c r="B169" s="252"/>
      <c r="C169" s="253"/>
      <c r="D169" s="254"/>
      <c r="E169" s="228"/>
      <c r="K169" s="176"/>
    </row>
    <row r="170" spans="1:11" x14ac:dyDescent="0.2">
      <c r="A170" s="184"/>
      <c r="B170" s="252"/>
      <c r="C170" s="253"/>
      <c r="D170" s="254"/>
      <c r="E170" s="228"/>
      <c r="K170" s="176"/>
    </row>
    <row r="171" spans="1:11" x14ac:dyDescent="0.2">
      <c r="A171" s="184"/>
      <c r="B171" s="252"/>
      <c r="C171" s="253"/>
      <c r="D171" s="254"/>
      <c r="E171" s="228"/>
      <c r="K171" s="176"/>
    </row>
    <row r="172" spans="1:11" x14ac:dyDescent="0.2">
      <c r="A172" s="184"/>
      <c r="B172" s="252"/>
      <c r="C172" s="253"/>
      <c r="D172" s="254"/>
      <c r="E172" s="228"/>
      <c r="K172" s="176"/>
    </row>
    <row r="173" spans="1:11" x14ac:dyDescent="0.2">
      <c r="A173" s="184"/>
      <c r="B173" s="252"/>
      <c r="C173" s="253"/>
      <c r="D173" s="254"/>
      <c r="E173" s="228"/>
      <c r="K173" s="176"/>
    </row>
    <row r="174" spans="1:11" x14ac:dyDescent="0.2">
      <c r="A174" s="184"/>
      <c r="B174" s="252"/>
      <c r="C174" s="253"/>
      <c r="D174" s="254"/>
      <c r="E174" s="228"/>
      <c r="K174" s="176"/>
    </row>
    <row r="175" spans="1:11" x14ac:dyDescent="0.2">
      <c r="A175" s="183"/>
      <c r="B175" s="252"/>
      <c r="C175" s="253"/>
      <c r="D175" s="254"/>
      <c r="E175" s="228"/>
      <c r="K175" s="176"/>
    </row>
    <row r="176" spans="1:11" x14ac:dyDescent="0.2">
      <c r="A176" s="183"/>
      <c r="B176" s="252"/>
      <c r="C176" s="253"/>
      <c r="D176" s="254"/>
      <c r="E176" s="228"/>
      <c r="K176" s="176"/>
    </row>
    <row r="177" spans="1:11" x14ac:dyDescent="0.2">
      <c r="A177" s="183"/>
      <c r="B177" s="252"/>
      <c r="C177" s="253"/>
      <c r="D177" s="254"/>
      <c r="E177" s="228"/>
      <c r="K177" s="176"/>
    </row>
    <row r="178" spans="1:11" x14ac:dyDescent="0.2">
      <c r="A178" s="183"/>
      <c r="B178" s="252"/>
      <c r="C178" s="253"/>
      <c r="D178" s="254"/>
      <c r="E178" s="228"/>
      <c r="K178" s="176"/>
    </row>
    <row r="179" spans="1:11" x14ac:dyDescent="0.2">
      <c r="A179" s="183"/>
      <c r="B179" s="252"/>
      <c r="C179" s="253"/>
      <c r="D179" s="254"/>
      <c r="E179" s="228"/>
      <c r="K179" s="176"/>
    </row>
    <row r="180" spans="1:11" x14ac:dyDescent="0.2">
      <c r="A180" s="183"/>
      <c r="B180" s="252"/>
      <c r="C180" s="253"/>
      <c r="D180" s="254"/>
      <c r="E180" s="228"/>
      <c r="K180" s="176"/>
    </row>
    <row r="181" spans="1:11" x14ac:dyDescent="0.2">
      <c r="A181" s="183"/>
      <c r="B181" s="252"/>
      <c r="C181" s="253"/>
      <c r="D181" s="254"/>
      <c r="E181" s="228"/>
      <c r="K181" s="176"/>
    </row>
    <row r="182" spans="1:11" x14ac:dyDescent="0.2">
      <c r="A182" s="183"/>
      <c r="B182" s="252"/>
      <c r="C182" s="253"/>
      <c r="D182" s="254"/>
      <c r="E182" s="228"/>
      <c r="K182" s="176"/>
    </row>
    <row r="183" spans="1:11" x14ac:dyDescent="0.2">
      <c r="A183" s="183"/>
      <c r="B183" s="252"/>
      <c r="C183" s="253"/>
      <c r="D183" s="254"/>
      <c r="E183" s="228"/>
      <c r="K183" s="176"/>
    </row>
    <row r="184" spans="1:11" x14ac:dyDescent="0.2">
      <c r="A184" s="183"/>
      <c r="B184" s="252"/>
      <c r="C184" s="253"/>
      <c r="D184" s="254"/>
      <c r="E184" s="228"/>
      <c r="K184" s="176"/>
    </row>
    <row r="185" spans="1:11" x14ac:dyDescent="0.2">
      <c r="A185" s="183"/>
      <c r="B185" s="252"/>
      <c r="C185" s="253"/>
      <c r="D185" s="254"/>
      <c r="E185" s="228"/>
      <c r="K185" s="176"/>
    </row>
    <row r="186" spans="1:11" x14ac:dyDescent="0.2">
      <c r="A186" s="183"/>
      <c r="B186" s="252"/>
      <c r="C186" s="253"/>
      <c r="D186" s="254"/>
      <c r="E186" s="228"/>
      <c r="K186" s="176"/>
    </row>
    <row r="187" spans="1:11" x14ac:dyDescent="0.2">
      <c r="A187" s="180"/>
      <c r="B187" s="180"/>
      <c r="C187" s="180"/>
      <c r="D187" s="180"/>
      <c r="E187" s="180"/>
      <c r="F187" s="180"/>
      <c r="G187" s="180"/>
      <c r="K187" s="176"/>
    </row>
    <row r="188" spans="1:11" x14ac:dyDescent="0.2">
      <c r="A188" s="183"/>
      <c r="B188" s="184"/>
      <c r="C188" s="184"/>
      <c r="D188" s="184"/>
      <c r="E188" s="184"/>
      <c r="K188" s="176"/>
    </row>
    <row r="189" spans="1:11" x14ac:dyDescent="0.2">
      <c r="A189" s="183"/>
      <c r="B189" s="184"/>
      <c r="C189" s="184"/>
      <c r="D189" s="184"/>
      <c r="E189" s="184"/>
      <c r="K189" s="176"/>
    </row>
    <row r="190" spans="1:11" x14ac:dyDescent="0.2">
      <c r="A190" s="308"/>
      <c r="B190" s="308"/>
      <c r="C190" s="308"/>
      <c r="D190" s="308"/>
      <c r="E190" s="308"/>
      <c r="F190" s="308"/>
      <c r="G190" s="308"/>
      <c r="H190" s="308"/>
      <c r="K190" s="176"/>
    </row>
    <row r="191" spans="1:11" x14ac:dyDescent="0.2">
      <c r="A191" s="183"/>
      <c r="B191" s="184"/>
      <c r="C191" s="184"/>
      <c r="D191" s="184"/>
      <c r="E191" s="184"/>
      <c r="K191" s="176"/>
    </row>
    <row r="192" spans="1:11" x14ac:dyDescent="0.2">
      <c r="A192" s="309"/>
      <c r="B192" s="309"/>
      <c r="C192" s="309"/>
      <c r="D192" s="309"/>
      <c r="E192" s="309"/>
      <c r="F192" s="309"/>
      <c r="G192" s="309"/>
      <c r="H192" s="309"/>
      <c r="K192" s="176"/>
    </row>
    <row r="193" spans="1:11" x14ac:dyDescent="0.2">
      <c r="A193" s="183"/>
      <c r="B193" s="184"/>
      <c r="C193" s="184"/>
      <c r="D193" s="184"/>
      <c r="E193" s="184"/>
      <c r="K193" s="176"/>
    </row>
    <row r="194" spans="1:11" x14ac:dyDescent="0.2">
      <c r="A194" s="184"/>
      <c r="B194" s="184"/>
      <c r="C194" s="184"/>
      <c r="D194" s="184"/>
      <c r="E194" s="184"/>
      <c r="K194" s="176"/>
    </row>
    <row r="195" spans="1:11" x14ac:dyDescent="0.2">
      <c r="A195" s="183"/>
      <c r="B195" s="184"/>
      <c r="C195" s="184"/>
      <c r="D195" s="184"/>
      <c r="E195" s="184"/>
      <c r="K195" s="176"/>
    </row>
    <row r="196" spans="1:11" x14ac:dyDescent="0.2">
      <c r="A196" s="184"/>
      <c r="B196" s="184"/>
      <c r="C196" s="184"/>
      <c r="D196" s="184"/>
      <c r="E196" s="184"/>
      <c r="K196" s="176"/>
    </row>
    <row r="197" spans="1:11" x14ac:dyDescent="0.2">
      <c r="A197" s="184"/>
      <c r="B197" s="184"/>
      <c r="C197" s="184"/>
      <c r="D197" s="184"/>
      <c r="E197" s="184"/>
      <c r="K197" s="176"/>
    </row>
    <row r="198" spans="1:11" x14ac:dyDescent="0.2">
      <c r="A198" s="184"/>
      <c r="B198" s="184"/>
      <c r="C198" s="184"/>
      <c r="D198" s="184"/>
      <c r="E198" s="184"/>
      <c r="K198" s="176"/>
    </row>
    <row r="199" spans="1:11" x14ac:dyDescent="0.2">
      <c r="A199" s="183"/>
      <c r="B199" s="184"/>
      <c r="C199" s="184"/>
      <c r="D199" s="184"/>
      <c r="E199" s="184"/>
      <c r="K199" s="176"/>
    </row>
    <row r="200" spans="1:11" x14ac:dyDescent="0.2">
      <c r="A200" s="255"/>
      <c r="B200" s="256"/>
      <c r="C200" s="257"/>
      <c r="D200" s="184"/>
      <c r="E200" s="184"/>
      <c r="K200" s="176"/>
    </row>
    <row r="201" spans="1:11" x14ac:dyDescent="0.2">
      <c r="A201" s="255"/>
      <c r="B201" s="258"/>
      <c r="C201" s="257"/>
      <c r="D201" s="184"/>
      <c r="E201" s="184"/>
      <c r="K201" s="176"/>
    </row>
    <row r="202" spans="1:11" x14ac:dyDescent="0.2">
      <c r="A202" s="255"/>
      <c r="B202" s="259"/>
      <c r="C202" s="184"/>
      <c r="D202" s="184"/>
      <c r="E202" s="184"/>
      <c r="K202" s="176"/>
    </row>
    <row r="203" spans="1:11" x14ac:dyDescent="0.2">
      <c r="A203" s="255"/>
      <c r="B203" s="259"/>
      <c r="C203" s="184"/>
      <c r="D203" s="184"/>
      <c r="E203" s="184"/>
      <c r="K203" s="176"/>
    </row>
    <row r="204" spans="1:11" x14ac:dyDescent="0.2">
      <c r="A204" s="260"/>
      <c r="B204" s="261"/>
      <c r="C204" s="184"/>
      <c r="D204" s="184"/>
      <c r="E204" s="184"/>
      <c r="K204" s="176"/>
    </row>
    <row r="205" spans="1:11" x14ac:dyDescent="0.2">
      <c r="A205" s="255"/>
      <c r="B205" s="257"/>
      <c r="C205" s="184"/>
      <c r="D205" s="184"/>
      <c r="E205" s="184"/>
      <c r="K205" s="176"/>
    </row>
    <row r="206" spans="1:11" x14ac:dyDescent="0.2">
      <c r="A206" s="183"/>
      <c r="B206" s="184"/>
      <c r="C206" s="184"/>
      <c r="D206" s="184"/>
      <c r="E206" s="184"/>
      <c r="K206" s="176"/>
    </row>
    <row r="207" spans="1:11" x14ac:dyDescent="0.2">
      <c r="A207" s="310"/>
      <c r="B207" s="311"/>
      <c r="C207" s="311"/>
      <c r="D207" s="311"/>
      <c r="E207" s="311"/>
      <c r="F207" s="311"/>
      <c r="G207" s="311"/>
      <c r="H207" s="312"/>
      <c r="K207" s="176"/>
    </row>
    <row r="208" spans="1:11" x14ac:dyDescent="0.2">
      <c r="A208" s="310"/>
      <c r="B208" s="311"/>
      <c r="C208" s="311"/>
      <c r="D208" s="311"/>
      <c r="E208" s="311"/>
      <c r="F208" s="311"/>
      <c r="G208" s="311"/>
      <c r="H208" s="312"/>
      <c r="K208" s="176"/>
    </row>
    <row r="209" spans="1:11" x14ac:dyDescent="0.2">
      <c r="A209" s="183"/>
      <c r="B209" s="184"/>
      <c r="C209" s="184"/>
      <c r="D209" s="184"/>
      <c r="E209" s="184"/>
      <c r="K209" s="176"/>
    </row>
    <row r="210" spans="1:11" x14ac:dyDescent="0.2">
      <c r="A210" s="183"/>
      <c r="B210" s="184"/>
      <c r="C210" s="184"/>
      <c r="D210" s="184"/>
      <c r="E210" s="184"/>
      <c r="K210" s="176"/>
    </row>
    <row r="211" spans="1:11" x14ac:dyDescent="0.2">
      <c r="A211" s="183"/>
      <c r="B211" s="184"/>
      <c r="C211" s="184"/>
      <c r="D211" s="184"/>
      <c r="E211" s="184"/>
      <c r="K211" s="176"/>
    </row>
    <row r="212" spans="1:11" x14ac:dyDescent="0.2">
      <c r="A212" s="183"/>
      <c r="B212" s="184"/>
      <c r="C212" s="184"/>
      <c r="D212" s="184"/>
      <c r="E212" s="184"/>
      <c r="K212" s="176"/>
    </row>
    <row r="213" spans="1:11" x14ac:dyDescent="0.2">
      <c r="A213" s="183"/>
      <c r="B213" s="184"/>
      <c r="C213" s="184"/>
      <c r="D213" s="184"/>
      <c r="E213" s="184"/>
      <c r="K213" s="176"/>
    </row>
    <row r="214" spans="1:11" x14ac:dyDescent="0.2">
      <c r="A214" s="183"/>
      <c r="B214" s="184"/>
      <c r="C214" s="184"/>
      <c r="D214" s="184"/>
      <c r="E214" s="184"/>
      <c r="K214" s="176"/>
    </row>
    <row r="215" spans="1:11" x14ac:dyDescent="0.2">
      <c r="A215" s="183"/>
      <c r="B215" s="184"/>
      <c r="C215" s="184"/>
      <c r="D215" s="184"/>
      <c r="E215" s="184"/>
      <c r="K215" s="176"/>
    </row>
    <row r="216" spans="1:11" x14ac:dyDescent="0.2">
      <c r="A216" s="183"/>
      <c r="B216" s="184"/>
      <c r="C216" s="184"/>
      <c r="D216" s="184"/>
      <c r="E216" s="184"/>
      <c r="K216" s="176"/>
    </row>
    <row r="217" spans="1:11" x14ac:dyDescent="0.2">
      <c r="A217" s="183"/>
      <c r="B217" s="184"/>
      <c r="C217" s="184"/>
      <c r="D217" s="184"/>
      <c r="E217" s="184"/>
      <c r="K217" s="176"/>
    </row>
    <row r="218" spans="1:11" x14ac:dyDescent="0.2">
      <c r="A218" s="183"/>
      <c r="B218" s="184"/>
      <c r="C218" s="184"/>
      <c r="D218" s="184"/>
      <c r="E218" s="184"/>
      <c r="K218" s="176"/>
    </row>
    <row r="219" spans="1:11" x14ac:dyDescent="0.2">
      <c r="A219" s="183"/>
      <c r="B219" s="184"/>
      <c r="C219" s="184"/>
      <c r="D219" s="184"/>
      <c r="E219" s="184"/>
      <c r="K219" s="176"/>
    </row>
    <row r="220" spans="1:11" x14ac:dyDescent="0.2">
      <c r="B220" s="262"/>
      <c r="C220" s="226"/>
      <c r="D220" s="226"/>
      <c r="E220" s="226"/>
      <c r="K220" s="176"/>
    </row>
    <row r="221" spans="1:11" x14ac:dyDescent="0.2">
      <c r="B221" s="262"/>
      <c r="C221" s="226"/>
      <c r="D221" s="226"/>
      <c r="E221" s="226"/>
      <c r="K221" s="176"/>
    </row>
    <row r="222" spans="1:11" x14ac:dyDescent="0.2">
      <c r="B222" s="262"/>
      <c r="C222" s="226"/>
      <c r="D222" s="226"/>
      <c r="E222" s="226"/>
      <c r="K222" s="176"/>
    </row>
  </sheetData>
  <mergeCells count="41">
    <mergeCell ref="A2:A8"/>
    <mergeCell ref="B2:G2"/>
    <mergeCell ref="H2:H8"/>
    <mergeCell ref="B3:G6"/>
    <mergeCell ref="B7:C8"/>
    <mergeCell ref="D7:E8"/>
    <mergeCell ref="F7:G8"/>
    <mergeCell ref="A9:H9"/>
    <mergeCell ref="A14:H14"/>
    <mergeCell ref="A22:H22"/>
    <mergeCell ref="A24:H24"/>
    <mergeCell ref="A36:G36"/>
    <mergeCell ref="A100:F100"/>
    <mergeCell ref="A45:H45"/>
    <mergeCell ref="A48:D48"/>
    <mergeCell ref="A56:H56"/>
    <mergeCell ref="A83:B83"/>
    <mergeCell ref="A84:B84"/>
    <mergeCell ref="D84:H84"/>
    <mergeCell ref="A88:B88"/>
    <mergeCell ref="A92:H92"/>
    <mergeCell ref="A94:H94"/>
    <mergeCell ref="A96:F96"/>
    <mergeCell ref="A98:H98"/>
    <mergeCell ref="A157:H157"/>
    <mergeCell ref="A102:H102"/>
    <mergeCell ref="A103:H103"/>
    <mergeCell ref="A105:H105"/>
    <mergeCell ref="A107:H107"/>
    <mergeCell ref="A143:C143"/>
    <mergeCell ref="A144:C144"/>
    <mergeCell ref="A148:C148"/>
    <mergeCell ref="A149:C149"/>
    <mergeCell ref="A150:C150"/>
    <mergeCell ref="A151:C151"/>
    <mergeCell ref="A155:H155"/>
    <mergeCell ref="A165:H165"/>
    <mergeCell ref="A190:H190"/>
    <mergeCell ref="A192:H192"/>
    <mergeCell ref="A207:H207"/>
    <mergeCell ref="A208:H20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C100"/>
  <sheetViews>
    <sheetView view="pageBreakPreview" topLeftCell="A4" zoomScaleSheetLayoutView="100" workbookViewId="0">
      <selection activeCell="A36" sqref="A36:H36"/>
    </sheetView>
  </sheetViews>
  <sheetFormatPr baseColWidth="10" defaultRowHeight="12.75" x14ac:dyDescent="0.2"/>
  <cols>
    <col min="1" max="1" width="20.42578125" style="75" customWidth="1"/>
    <col min="2" max="2" width="11.42578125" style="75"/>
    <col min="3" max="3" width="19" style="75" customWidth="1"/>
    <col min="4" max="4" width="10.42578125" style="75" customWidth="1"/>
    <col min="5" max="5" width="8.7109375" style="75" customWidth="1"/>
    <col min="6" max="6" width="14.5703125" style="75" customWidth="1"/>
    <col min="7" max="7" width="21" style="75" customWidth="1"/>
    <col min="8" max="8" width="0.85546875" style="75" customWidth="1"/>
    <col min="9" max="16384" width="11.42578125" style="75"/>
  </cols>
  <sheetData>
    <row r="1" spans="1:29" ht="9.9499999999999993" customHeight="1" x14ac:dyDescent="0.2">
      <c r="A1" s="172"/>
      <c r="B1" s="172"/>
      <c r="C1" s="172"/>
      <c r="D1" s="172"/>
      <c r="E1" s="172"/>
      <c r="F1" s="172"/>
      <c r="G1" s="172"/>
    </row>
    <row r="2" spans="1:29" ht="29.25" customHeight="1" x14ac:dyDescent="0.2">
      <c r="A2" s="285"/>
      <c r="B2" s="283" t="s">
        <v>320</v>
      </c>
      <c r="C2" s="283"/>
      <c r="D2" s="283"/>
      <c r="E2" s="283"/>
      <c r="F2" s="283"/>
      <c r="G2" s="285"/>
    </row>
    <row r="3" spans="1:29" ht="9.9499999999999993" customHeight="1" x14ac:dyDescent="0.2">
      <c r="A3" s="285"/>
      <c r="B3" s="284" t="s">
        <v>322</v>
      </c>
      <c r="C3" s="284"/>
      <c r="D3" s="284"/>
      <c r="E3" s="284"/>
      <c r="F3" s="284"/>
      <c r="G3" s="285"/>
    </row>
    <row r="4" spans="1:29" ht="9.9499999999999993" customHeight="1" x14ac:dyDescent="0.2">
      <c r="A4" s="285"/>
      <c r="B4" s="284"/>
      <c r="C4" s="284"/>
      <c r="D4" s="284"/>
      <c r="E4" s="284"/>
      <c r="F4" s="284"/>
      <c r="G4" s="285"/>
    </row>
    <row r="5" spans="1:29" ht="9.9499999999999993" customHeight="1" x14ac:dyDescent="0.2">
      <c r="A5" s="285"/>
      <c r="B5" s="284"/>
      <c r="C5" s="284"/>
      <c r="D5" s="284"/>
      <c r="E5" s="284"/>
      <c r="F5" s="284"/>
      <c r="G5" s="285"/>
    </row>
    <row r="6" spans="1:29" ht="9.9499999999999993" customHeight="1" x14ac:dyDescent="0.2">
      <c r="A6" s="285"/>
      <c r="B6" s="284"/>
      <c r="C6" s="284"/>
      <c r="D6" s="284"/>
      <c r="E6" s="284"/>
      <c r="F6" s="284"/>
      <c r="G6" s="285"/>
    </row>
    <row r="7" spans="1:29" s="170" customFormat="1" ht="24" customHeight="1" x14ac:dyDescent="0.2">
      <c r="A7" s="285"/>
      <c r="B7" s="284" t="s">
        <v>326</v>
      </c>
      <c r="C7" s="284"/>
      <c r="D7" s="283" t="s">
        <v>323</v>
      </c>
      <c r="E7" s="283"/>
      <c r="F7" s="283" t="s">
        <v>321</v>
      </c>
      <c r="G7" s="285"/>
    </row>
    <row r="8" spans="1:29" ht="18" customHeight="1" x14ac:dyDescent="0.2">
      <c r="A8" s="285"/>
      <c r="B8" s="284"/>
      <c r="C8" s="284"/>
      <c r="D8" s="283"/>
      <c r="E8" s="283"/>
      <c r="F8" s="283"/>
      <c r="G8" s="285"/>
    </row>
    <row r="9" spans="1:29" ht="39.950000000000003" customHeight="1" x14ac:dyDescent="0.2">
      <c r="A9" s="331" t="s">
        <v>357</v>
      </c>
      <c r="B9" s="332"/>
      <c r="C9" s="332"/>
      <c r="D9" s="332"/>
      <c r="E9" s="332"/>
      <c r="F9" s="332"/>
      <c r="G9" s="332"/>
      <c r="H9" s="332"/>
    </row>
    <row r="10" spans="1:29" ht="9.9499999999999993" customHeight="1" x14ac:dyDescent="0.2">
      <c r="A10" s="123"/>
      <c r="B10" s="93"/>
      <c r="C10" s="93"/>
      <c r="D10" s="93"/>
      <c r="E10" s="93"/>
      <c r="F10" s="93"/>
      <c r="G10" s="93"/>
      <c r="H10" s="93"/>
    </row>
    <row r="11" spans="1:29" s="125" customFormat="1" ht="30" customHeight="1" x14ac:dyDescent="0.2">
      <c r="A11" s="277" t="s">
        <v>351</v>
      </c>
      <c r="B11" s="277"/>
      <c r="C11" s="277"/>
      <c r="D11" s="277"/>
      <c r="E11" s="277"/>
      <c r="F11" s="277"/>
      <c r="G11" s="277"/>
      <c r="H11" s="277"/>
      <c r="K11" s="77"/>
      <c r="L11" s="126"/>
      <c r="M11" s="75"/>
      <c r="N11" s="75"/>
      <c r="O11" s="75"/>
      <c r="P11" s="75"/>
      <c r="Q11" s="75"/>
      <c r="R11" s="75"/>
      <c r="S11" s="75"/>
      <c r="T11" s="75"/>
      <c r="U11" s="75"/>
      <c r="V11" s="75"/>
      <c r="W11" s="75"/>
      <c r="X11" s="75"/>
      <c r="Y11" s="75"/>
      <c r="Z11" s="75"/>
      <c r="AA11" s="75"/>
      <c r="AB11" s="75"/>
      <c r="AC11" s="75"/>
    </row>
    <row r="12" spans="1:29" s="125" customFormat="1" ht="9.9499999999999993" customHeight="1" x14ac:dyDescent="0.2">
      <c r="A12" s="99"/>
      <c r="B12" s="99"/>
      <c r="C12" s="99"/>
      <c r="D12" s="99"/>
      <c r="E12" s="99"/>
      <c r="F12" s="99"/>
      <c r="G12" s="99"/>
      <c r="H12" s="99"/>
      <c r="J12" s="77"/>
      <c r="K12" s="77"/>
      <c r="L12" s="126"/>
      <c r="M12" s="75"/>
      <c r="N12" s="75"/>
      <c r="O12" s="75"/>
      <c r="P12" s="75"/>
      <c r="Q12" s="75"/>
      <c r="R12" s="75"/>
      <c r="S12" s="75"/>
      <c r="T12" s="75"/>
      <c r="U12" s="75"/>
      <c r="V12" s="75"/>
      <c r="W12" s="75"/>
      <c r="X12" s="75"/>
      <c r="Y12" s="75"/>
      <c r="Z12" s="75"/>
      <c r="AA12" s="75"/>
      <c r="AB12" s="75"/>
      <c r="AC12" s="75"/>
    </row>
    <row r="13" spans="1:29" s="125" customFormat="1" ht="12" hidden="1" customHeight="1" x14ac:dyDescent="0.2">
      <c r="A13" s="77" t="s">
        <v>1</v>
      </c>
      <c r="B13" s="99"/>
      <c r="C13" s="99"/>
      <c r="D13" s="99"/>
      <c r="F13" s="99"/>
      <c r="G13" s="99"/>
      <c r="H13" s="99"/>
      <c r="J13" s="77"/>
      <c r="K13" s="77"/>
      <c r="L13" s="126"/>
      <c r="M13" s="75"/>
      <c r="N13" s="75"/>
      <c r="O13" s="75"/>
      <c r="P13" s="75"/>
      <c r="Q13" s="75"/>
      <c r="R13" s="75"/>
      <c r="S13" s="75"/>
      <c r="T13" s="75"/>
      <c r="U13" s="75"/>
      <c r="V13" s="75"/>
      <c r="W13" s="75"/>
      <c r="X13" s="75"/>
      <c r="Y13" s="75"/>
      <c r="Z13" s="75"/>
      <c r="AA13" s="75"/>
      <c r="AB13" s="75"/>
      <c r="AC13" s="75"/>
    </row>
    <row r="14" spans="1:29" s="125" customFormat="1" ht="9" hidden="1" customHeight="1" x14ac:dyDescent="0.2">
      <c r="A14" s="99"/>
      <c r="B14" s="99"/>
      <c r="C14" s="99"/>
      <c r="D14" s="99"/>
      <c r="E14" s="99"/>
      <c r="F14" s="99"/>
      <c r="G14" s="99"/>
      <c r="H14" s="99"/>
      <c r="J14" s="77"/>
      <c r="K14" s="77"/>
      <c r="L14" s="126"/>
      <c r="M14" s="75"/>
      <c r="N14" s="75"/>
      <c r="O14" s="75"/>
      <c r="P14" s="75"/>
      <c r="Q14" s="75"/>
      <c r="R14" s="75"/>
      <c r="S14" s="75"/>
      <c r="T14" s="75"/>
      <c r="U14" s="75"/>
      <c r="V14" s="75"/>
      <c r="W14" s="75"/>
      <c r="X14" s="75"/>
      <c r="Y14" s="75"/>
      <c r="Z14" s="75"/>
      <c r="AA14" s="75"/>
      <c r="AB14" s="75"/>
      <c r="AC14" s="75"/>
    </row>
    <row r="15" spans="1:29" s="125" customFormat="1" ht="12" hidden="1" customHeight="1" x14ac:dyDescent="0.2">
      <c r="A15" s="333" t="s">
        <v>0</v>
      </c>
      <c r="B15" s="333"/>
      <c r="C15" s="333"/>
      <c r="D15" s="333"/>
      <c r="E15" s="333"/>
      <c r="F15" s="333"/>
      <c r="G15" s="99"/>
      <c r="H15" s="99"/>
      <c r="J15" s="77"/>
      <c r="K15" s="77"/>
      <c r="L15" s="126"/>
      <c r="M15" s="75"/>
      <c r="N15" s="75"/>
      <c r="O15" s="75"/>
      <c r="P15" s="75"/>
      <c r="Q15" s="75"/>
      <c r="R15" s="75"/>
      <c r="S15" s="75"/>
      <c r="T15" s="75"/>
      <c r="U15" s="75"/>
      <c r="V15" s="75"/>
      <c r="W15" s="75"/>
      <c r="X15" s="75"/>
      <c r="Y15" s="75"/>
      <c r="Z15" s="75"/>
      <c r="AA15" s="75"/>
      <c r="AB15" s="75"/>
      <c r="AC15" s="75"/>
    </row>
    <row r="16" spans="1:29" s="125" customFormat="1" ht="12" hidden="1" customHeight="1" x14ac:dyDescent="0.2">
      <c r="A16" s="127"/>
      <c r="B16" s="127"/>
      <c r="C16" s="127"/>
      <c r="D16" s="127"/>
      <c r="E16" s="127"/>
      <c r="F16" s="128"/>
      <c r="G16" s="99"/>
      <c r="H16" s="99"/>
      <c r="J16" s="77"/>
      <c r="K16" s="77"/>
      <c r="L16" s="126"/>
      <c r="M16" s="75"/>
      <c r="N16" s="75"/>
      <c r="O16" s="75"/>
      <c r="P16" s="75"/>
      <c r="Q16" s="75"/>
      <c r="R16" s="75"/>
      <c r="S16" s="75"/>
      <c r="T16" s="75"/>
      <c r="U16" s="75"/>
      <c r="V16" s="75"/>
      <c r="W16" s="75"/>
      <c r="X16" s="75"/>
      <c r="Y16" s="75"/>
      <c r="Z16" s="75"/>
      <c r="AA16" s="75"/>
      <c r="AB16" s="75"/>
      <c r="AC16" s="75"/>
    </row>
    <row r="17" spans="1:29" s="125" customFormat="1" ht="36.75" hidden="1" customHeight="1" x14ac:dyDescent="0.2">
      <c r="A17" s="330" t="s">
        <v>239</v>
      </c>
      <c r="B17" s="330"/>
      <c r="C17" s="330"/>
      <c r="D17" s="330"/>
      <c r="E17" s="330"/>
      <c r="F17" s="330"/>
      <c r="G17" s="330"/>
      <c r="H17" s="330"/>
      <c r="J17" s="77"/>
      <c r="K17" s="77"/>
      <c r="L17" s="126"/>
      <c r="M17" s="75"/>
      <c r="N17" s="75"/>
      <c r="O17" s="75"/>
      <c r="P17" s="75"/>
      <c r="Q17" s="75"/>
      <c r="R17" s="75"/>
      <c r="S17" s="75"/>
      <c r="T17" s="75"/>
      <c r="U17" s="75"/>
      <c r="V17" s="75"/>
      <c r="W17" s="75"/>
      <c r="X17" s="75"/>
      <c r="Y17" s="75"/>
      <c r="Z17" s="75"/>
      <c r="AA17" s="75"/>
      <c r="AB17" s="75"/>
      <c r="AC17" s="75"/>
    </row>
    <row r="18" spans="1:29" s="125" customFormat="1" ht="9" hidden="1" customHeight="1" x14ac:dyDescent="0.2">
      <c r="A18" s="127"/>
      <c r="B18" s="127"/>
      <c r="C18" s="127"/>
      <c r="D18" s="127"/>
      <c r="E18" s="127"/>
      <c r="F18" s="128"/>
      <c r="G18" s="99"/>
      <c r="H18" s="99"/>
      <c r="J18" s="77"/>
      <c r="K18" s="77"/>
      <c r="L18" s="126"/>
      <c r="M18" s="75"/>
      <c r="N18" s="75"/>
      <c r="O18" s="75"/>
      <c r="P18" s="75"/>
      <c r="Q18" s="75"/>
      <c r="R18" s="75"/>
      <c r="S18" s="75"/>
      <c r="T18" s="75"/>
      <c r="U18" s="75"/>
      <c r="V18" s="75"/>
      <c r="W18" s="75"/>
      <c r="X18" s="75"/>
      <c r="Y18" s="75"/>
      <c r="Z18" s="75"/>
      <c r="AA18" s="75"/>
      <c r="AB18" s="75"/>
      <c r="AC18" s="75"/>
    </row>
    <row r="19" spans="1:29" s="125" customFormat="1" ht="27" hidden="1" customHeight="1" x14ac:dyDescent="0.2">
      <c r="A19" s="330" t="s">
        <v>240</v>
      </c>
      <c r="B19" s="330"/>
      <c r="C19" s="330"/>
      <c r="D19" s="330"/>
      <c r="E19" s="330"/>
      <c r="F19" s="330"/>
      <c r="G19" s="330"/>
      <c r="H19" s="330"/>
      <c r="J19" s="77"/>
      <c r="K19" s="77"/>
      <c r="L19" s="126"/>
      <c r="M19" s="75"/>
      <c r="N19" s="75"/>
      <c r="O19" s="75"/>
      <c r="P19" s="75"/>
      <c r="Q19" s="75"/>
      <c r="R19" s="75"/>
      <c r="S19" s="75"/>
      <c r="T19" s="75"/>
      <c r="U19" s="75"/>
      <c r="V19" s="75"/>
      <c r="W19" s="75"/>
      <c r="X19" s="75"/>
      <c r="Y19" s="75"/>
      <c r="Z19" s="75"/>
      <c r="AA19" s="75"/>
      <c r="AB19" s="75"/>
      <c r="AC19" s="75"/>
    </row>
    <row r="20" spans="1:29" s="125" customFormat="1" ht="9" hidden="1" customHeight="1" x14ac:dyDescent="0.2">
      <c r="A20" s="127"/>
      <c r="B20" s="127"/>
      <c r="C20" s="127"/>
      <c r="D20" s="127"/>
      <c r="E20" s="127"/>
      <c r="F20" s="128"/>
      <c r="G20" s="99"/>
      <c r="H20" s="99"/>
      <c r="J20" s="77"/>
      <c r="K20" s="77"/>
      <c r="L20" s="126"/>
      <c r="M20" s="75"/>
      <c r="N20" s="75"/>
      <c r="O20" s="75"/>
      <c r="P20" s="75"/>
      <c r="Q20" s="75"/>
      <c r="R20" s="75"/>
      <c r="S20" s="75"/>
      <c r="T20" s="75"/>
      <c r="U20" s="75"/>
      <c r="V20" s="75"/>
      <c r="W20" s="75"/>
      <c r="X20" s="75"/>
      <c r="Y20" s="75"/>
      <c r="Z20" s="75"/>
      <c r="AA20" s="75"/>
      <c r="AB20" s="75"/>
      <c r="AC20" s="75"/>
    </row>
    <row r="21" spans="1:29" s="125" customFormat="1" ht="37.5" hidden="1" customHeight="1" x14ac:dyDescent="0.2">
      <c r="A21" s="330" t="s">
        <v>241</v>
      </c>
      <c r="B21" s="330"/>
      <c r="C21" s="330"/>
      <c r="D21" s="330"/>
      <c r="E21" s="330"/>
      <c r="F21" s="330"/>
      <c r="G21" s="330"/>
      <c r="H21" s="330"/>
      <c r="J21" s="77"/>
      <c r="K21" s="77"/>
      <c r="L21" s="126"/>
      <c r="M21" s="75"/>
      <c r="N21" s="75"/>
      <c r="O21" s="75"/>
      <c r="P21" s="75"/>
      <c r="Q21" s="75"/>
      <c r="R21" s="75"/>
      <c r="S21" s="75"/>
      <c r="T21" s="75"/>
      <c r="U21" s="75"/>
      <c r="V21" s="75"/>
      <c r="W21" s="75"/>
      <c r="X21" s="75"/>
      <c r="Y21" s="75"/>
      <c r="Z21" s="75"/>
      <c r="AA21" s="75"/>
      <c r="AB21" s="75"/>
      <c r="AC21" s="75"/>
    </row>
    <row r="22" spans="1:29" s="125" customFormat="1" ht="9" hidden="1" customHeight="1" x14ac:dyDescent="0.2">
      <c r="A22" s="99"/>
      <c r="B22" s="99"/>
      <c r="C22" s="99"/>
      <c r="D22" s="99"/>
      <c r="E22" s="99"/>
      <c r="F22" s="99"/>
      <c r="G22" s="99"/>
      <c r="H22" s="99"/>
      <c r="J22" s="77"/>
      <c r="K22" s="77"/>
      <c r="L22" s="126"/>
      <c r="M22" s="75"/>
      <c r="N22" s="75"/>
      <c r="O22" s="75"/>
      <c r="P22" s="75"/>
      <c r="Q22" s="75"/>
      <c r="R22" s="75"/>
      <c r="S22" s="75"/>
      <c r="T22" s="75"/>
      <c r="U22" s="75"/>
      <c r="V22" s="75"/>
      <c r="W22" s="75"/>
      <c r="X22" s="75"/>
      <c r="Y22" s="75"/>
      <c r="Z22" s="75"/>
      <c r="AA22" s="75"/>
      <c r="AB22" s="75"/>
      <c r="AC22" s="75"/>
    </row>
    <row r="23" spans="1:29" s="125" customFormat="1" ht="24.75" hidden="1" customHeight="1" x14ac:dyDescent="0.2">
      <c r="A23" s="330" t="s">
        <v>242</v>
      </c>
      <c r="B23" s="330"/>
      <c r="C23" s="330"/>
      <c r="D23" s="330"/>
      <c r="E23" s="330"/>
      <c r="F23" s="330"/>
      <c r="G23" s="330"/>
      <c r="H23" s="330"/>
      <c r="J23" s="77"/>
      <c r="K23" s="77"/>
      <c r="L23" s="126"/>
      <c r="M23" s="75"/>
      <c r="N23" s="75"/>
      <c r="O23" s="75"/>
      <c r="P23" s="75"/>
      <c r="Q23" s="75"/>
      <c r="R23" s="75"/>
      <c r="S23" s="75"/>
      <c r="T23" s="75"/>
      <c r="U23" s="75"/>
      <c r="V23" s="75"/>
      <c r="W23" s="75"/>
      <c r="X23" s="75"/>
      <c r="Y23" s="75"/>
      <c r="Z23" s="75"/>
      <c r="AA23" s="75"/>
      <c r="AB23" s="75"/>
      <c r="AC23" s="75"/>
    </row>
    <row r="24" spans="1:29" s="125" customFormat="1" ht="9" hidden="1" customHeight="1" x14ac:dyDescent="0.2">
      <c r="A24" s="127"/>
      <c r="B24" s="127"/>
      <c r="C24" s="127"/>
      <c r="D24" s="127"/>
      <c r="E24" s="127"/>
      <c r="F24" s="128"/>
      <c r="G24" s="99"/>
      <c r="H24" s="99"/>
      <c r="J24" s="77"/>
      <c r="K24" s="77"/>
      <c r="L24" s="126"/>
      <c r="M24" s="75"/>
      <c r="N24" s="75"/>
      <c r="O24" s="75"/>
      <c r="P24" s="75"/>
      <c r="Q24" s="75"/>
      <c r="R24" s="75"/>
      <c r="S24" s="75"/>
      <c r="T24" s="75"/>
      <c r="U24" s="75"/>
      <c r="V24" s="75"/>
      <c r="W24" s="75"/>
      <c r="X24" s="75"/>
      <c r="Y24" s="75"/>
      <c r="Z24" s="75"/>
      <c r="AA24" s="75"/>
      <c r="AB24" s="75"/>
      <c r="AC24" s="75"/>
    </row>
    <row r="25" spans="1:29" s="125" customFormat="1" ht="28.5" hidden="1" customHeight="1" x14ac:dyDescent="0.2">
      <c r="A25" s="330" t="s">
        <v>243</v>
      </c>
      <c r="B25" s="330"/>
      <c r="C25" s="330"/>
      <c r="D25" s="330"/>
      <c r="E25" s="330"/>
      <c r="F25" s="330"/>
      <c r="G25" s="330"/>
      <c r="H25" s="330"/>
      <c r="J25" s="77"/>
      <c r="K25" s="77"/>
      <c r="L25" s="126"/>
      <c r="M25" s="75"/>
      <c r="N25" s="75"/>
      <c r="O25" s="75"/>
      <c r="P25" s="75"/>
      <c r="Q25" s="75"/>
      <c r="R25" s="75"/>
      <c r="S25" s="75"/>
      <c r="T25" s="75"/>
      <c r="U25" s="75"/>
      <c r="V25" s="75"/>
      <c r="W25" s="75"/>
      <c r="X25" s="75"/>
      <c r="Y25" s="75"/>
      <c r="Z25" s="75"/>
      <c r="AA25" s="75"/>
      <c r="AB25" s="75"/>
      <c r="AC25" s="75"/>
    </row>
    <row r="26" spans="1:29" s="125" customFormat="1" ht="9" hidden="1" customHeight="1" x14ac:dyDescent="0.2">
      <c r="A26" s="127"/>
      <c r="B26" s="127"/>
      <c r="C26" s="127"/>
      <c r="D26" s="127"/>
      <c r="E26" s="127"/>
      <c r="F26" s="128"/>
      <c r="G26" s="99"/>
      <c r="H26" s="99"/>
      <c r="J26" s="77"/>
      <c r="K26" s="77"/>
      <c r="L26" s="126"/>
      <c r="M26" s="75"/>
      <c r="N26" s="75"/>
      <c r="O26" s="75"/>
      <c r="P26" s="75"/>
      <c r="Q26" s="75"/>
      <c r="R26" s="75"/>
      <c r="S26" s="75"/>
      <c r="T26" s="75"/>
      <c r="U26" s="75"/>
      <c r="V26" s="75"/>
      <c r="W26" s="75"/>
      <c r="X26" s="75"/>
      <c r="Y26" s="75"/>
      <c r="Z26" s="75"/>
      <c r="AA26" s="75"/>
      <c r="AB26" s="75"/>
      <c r="AC26" s="75"/>
    </row>
    <row r="27" spans="1:29" s="125" customFormat="1" ht="26.25" hidden="1" customHeight="1" x14ac:dyDescent="0.2">
      <c r="A27" s="330" t="s">
        <v>244</v>
      </c>
      <c r="B27" s="330"/>
      <c r="C27" s="330"/>
      <c r="D27" s="330"/>
      <c r="E27" s="330"/>
      <c r="F27" s="330"/>
      <c r="G27" s="330"/>
      <c r="H27" s="330"/>
      <c r="J27" s="77"/>
      <c r="K27" s="77"/>
      <c r="L27" s="126"/>
      <c r="M27" s="75"/>
      <c r="N27" s="75"/>
      <c r="O27" s="75"/>
      <c r="P27" s="75"/>
      <c r="Q27" s="75"/>
      <c r="R27" s="75"/>
      <c r="S27" s="75"/>
      <c r="T27" s="75"/>
      <c r="U27" s="75"/>
      <c r="V27" s="75"/>
      <c r="W27" s="75"/>
      <c r="X27" s="75"/>
      <c r="Y27" s="75"/>
      <c r="Z27" s="75"/>
      <c r="AA27" s="75"/>
      <c r="AB27" s="75"/>
      <c r="AC27" s="75"/>
    </row>
    <row r="28" spans="1:29" s="125" customFormat="1" ht="9" hidden="1" customHeight="1" x14ac:dyDescent="0.2">
      <c r="A28" s="127"/>
      <c r="B28" s="127"/>
      <c r="C28" s="127"/>
      <c r="D28" s="127"/>
      <c r="E28" s="127"/>
      <c r="F28" s="128"/>
      <c r="G28" s="99"/>
      <c r="H28" s="99"/>
      <c r="J28" s="77"/>
      <c r="K28" s="77"/>
      <c r="L28" s="126"/>
      <c r="M28" s="75"/>
      <c r="N28" s="75"/>
      <c r="O28" s="75"/>
      <c r="P28" s="75"/>
      <c r="Q28" s="75"/>
      <c r="R28" s="75"/>
      <c r="S28" s="75"/>
      <c r="T28" s="75"/>
      <c r="U28" s="75"/>
      <c r="V28" s="75"/>
      <c r="W28" s="75"/>
      <c r="X28" s="75"/>
      <c r="Y28" s="75"/>
      <c r="Z28" s="75"/>
      <c r="AA28" s="75"/>
      <c r="AB28" s="75"/>
      <c r="AC28" s="75"/>
    </row>
    <row r="29" spans="1:29" s="125" customFormat="1" ht="51.75" hidden="1" customHeight="1" x14ac:dyDescent="0.2">
      <c r="A29" s="330" t="s">
        <v>245</v>
      </c>
      <c r="B29" s="330"/>
      <c r="C29" s="330"/>
      <c r="D29" s="330"/>
      <c r="E29" s="330"/>
      <c r="F29" s="330"/>
      <c r="G29" s="330"/>
      <c r="H29" s="330"/>
      <c r="J29" s="77"/>
      <c r="K29" s="77"/>
      <c r="L29" s="126"/>
      <c r="M29" s="75"/>
      <c r="N29" s="75"/>
      <c r="O29" s="75"/>
      <c r="P29" s="75"/>
      <c r="Q29" s="75"/>
      <c r="R29" s="75"/>
      <c r="S29" s="75"/>
      <c r="T29" s="75"/>
      <c r="U29" s="75"/>
      <c r="V29" s="75"/>
      <c r="W29" s="75"/>
      <c r="X29" s="75"/>
      <c r="Y29" s="75"/>
      <c r="Z29" s="75"/>
      <c r="AA29" s="75"/>
      <c r="AB29" s="75"/>
      <c r="AC29" s="75"/>
    </row>
    <row r="30" spans="1:29" s="125" customFormat="1" ht="9" hidden="1" customHeight="1" x14ac:dyDescent="0.2">
      <c r="A30" s="127"/>
      <c r="B30" s="127"/>
      <c r="C30" s="127"/>
      <c r="D30" s="127"/>
      <c r="E30" s="127"/>
      <c r="F30" s="128"/>
      <c r="G30" s="99"/>
      <c r="H30" s="99"/>
      <c r="J30" s="77"/>
      <c r="K30" s="77"/>
      <c r="L30" s="126"/>
      <c r="M30" s="75"/>
      <c r="N30" s="75"/>
      <c r="O30" s="75"/>
      <c r="P30" s="75"/>
      <c r="Q30" s="75"/>
      <c r="R30" s="75"/>
      <c r="S30" s="75"/>
      <c r="T30" s="75"/>
      <c r="U30" s="75"/>
      <c r="V30" s="75"/>
      <c r="W30" s="75"/>
      <c r="X30" s="75"/>
      <c r="Y30" s="75"/>
      <c r="Z30" s="75"/>
      <c r="AA30" s="75"/>
      <c r="AB30" s="75"/>
      <c r="AC30" s="75"/>
    </row>
    <row r="31" spans="1:29" s="125" customFormat="1" ht="27" hidden="1" customHeight="1" x14ac:dyDescent="0.2">
      <c r="A31" s="330" t="s">
        <v>246</v>
      </c>
      <c r="B31" s="330"/>
      <c r="C31" s="330"/>
      <c r="D31" s="330"/>
      <c r="E31" s="330"/>
      <c r="F31" s="330"/>
      <c r="G31" s="330"/>
      <c r="H31" s="330"/>
      <c r="J31" s="77"/>
      <c r="K31" s="77"/>
      <c r="L31" s="126"/>
      <c r="M31" s="75"/>
      <c r="N31" s="75"/>
      <c r="O31" s="75"/>
      <c r="P31" s="75"/>
      <c r="Q31" s="75"/>
      <c r="R31" s="75"/>
      <c r="S31" s="75"/>
      <c r="T31" s="75"/>
      <c r="U31" s="75"/>
      <c r="V31" s="75"/>
      <c r="W31" s="75"/>
      <c r="X31" s="75"/>
      <c r="Y31" s="75"/>
      <c r="Z31" s="75"/>
      <c r="AA31" s="75"/>
      <c r="AB31" s="75"/>
      <c r="AC31" s="75"/>
    </row>
    <row r="32" spans="1:29" s="125" customFormat="1" ht="15" hidden="1" customHeight="1" x14ac:dyDescent="0.2">
      <c r="A32" s="77"/>
      <c r="B32" s="99"/>
      <c r="C32" s="99"/>
      <c r="D32" s="99"/>
      <c r="E32" s="99"/>
      <c r="F32" s="99"/>
      <c r="G32" s="99"/>
      <c r="H32" s="99"/>
      <c r="J32" s="77"/>
      <c r="K32" s="77"/>
      <c r="L32" s="126"/>
      <c r="M32" s="75"/>
      <c r="N32" s="75"/>
      <c r="O32" s="75"/>
      <c r="P32" s="75"/>
      <c r="Q32" s="75"/>
      <c r="R32" s="75"/>
      <c r="S32" s="75"/>
      <c r="T32" s="75"/>
      <c r="U32" s="75"/>
      <c r="V32" s="75"/>
      <c r="W32" s="75"/>
      <c r="X32" s="75"/>
      <c r="Y32" s="75"/>
      <c r="Z32" s="75"/>
      <c r="AA32" s="75"/>
      <c r="AB32" s="75"/>
      <c r="AC32" s="75"/>
    </row>
    <row r="33" spans="1:28" ht="15" customHeight="1" x14ac:dyDescent="0.2">
      <c r="A33" s="75" t="s">
        <v>352</v>
      </c>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row>
    <row r="34" spans="1:28" s="168" customFormat="1" ht="15" customHeight="1" x14ac:dyDescent="0.2">
      <c r="A34" s="168" t="s">
        <v>353</v>
      </c>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1:28" ht="9.9499999999999993" customHeight="1" x14ac:dyDescent="0.2">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row>
    <row r="36" spans="1:28" ht="80.099999999999994" customHeight="1" x14ac:dyDescent="0.2">
      <c r="A36" s="270" t="s">
        <v>195</v>
      </c>
      <c r="B36" s="277"/>
      <c r="C36" s="277"/>
      <c r="D36" s="277"/>
      <c r="E36" s="277"/>
      <c r="F36" s="277"/>
      <c r="G36" s="277"/>
      <c r="H36" s="277"/>
      <c r="I36" s="129"/>
      <c r="J36" s="129"/>
      <c r="K36" s="129"/>
      <c r="L36" s="129"/>
      <c r="M36" s="129"/>
      <c r="N36" s="129"/>
      <c r="O36" s="129"/>
      <c r="P36" s="129"/>
      <c r="Q36" s="129"/>
      <c r="R36" s="129"/>
      <c r="S36" s="129"/>
      <c r="T36" s="129"/>
      <c r="U36" s="129"/>
      <c r="V36" s="129"/>
      <c r="W36" s="129"/>
      <c r="X36" s="129"/>
      <c r="Y36" s="129"/>
      <c r="Z36" s="129"/>
      <c r="AA36" s="129"/>
      <c r="AB36" s="129"/>
    </row>
    <row r="37" spans="1:28" ht="9.9499999999999993" customHeight="1" x14ac:dyDescent="0.2">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ht="30" customHeight="1" x14ac:dyDescent="0.2">
      <c r="A38" s="277" t="s">
        <v>180</v>
      </c>
      <c r="B38" s="277"/>
      <c r="C38" s="277"/>
      <c r="D38" s="277"/>
      <c r="E38" s="277"/>
      <c r="F38" s="277"/>
      <c r="G38" s="277"/>
      <c r="H38" s="277"/>
      <c r="I38" s="129"/>
      <c r="J38" s="129"/>
      <c r="K38" s="129"/>
      <c r="L38" s="129"/>
      <c r="M38" s="129"/>
      <c r="N38" s="129"/>
      <c r="O38" s="129"/>
      <c r="P38" s="129"/>
      <c r="Q38" s="129"/>
      <c r="R38" s="129"/>
      <c r="S38" s="129"/>
      <c r="T38" s="129"/>
      <c r="U38" s="129"/>
      <c r="V38" s="129"/>
      <c r="W38" s="129"/>
      <c r="X38" s="129"/>
      <c r="Y38" s="129"/>
      <c r="Z38" s="129"/>
      <c r="AA38" s="129"/>
      <c r="AB38" s="129"/>
    </row>
    <row r="39" spans="1:28" ht="9.9499999999999993" customHeight="1" x14ac:dyDescent="0.2">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row>
    <row r="40" spans="1:28" ht="30" customHeight="1" x14ac:dyDescent="0.2">
      <c r="A40" s="277" t="s">
        <v>181</v>
      </c>
      <c r="B40" s="277"/>
      <c r="C40" s="277"/>
      <c r="D40" s="277"/>
      <c r="E40" s="277"/>
      <c r="F40" s="277"/>
      <c r="G40" s="277"/>
      <c r="H40" s="277"/>
      <c r="I40" s="129"/>
      <c r="J40" s="129"/>
      <c r="K40" s="129"/>
      <c r="L40" s="129"/>
      <c r="M40" s="129"/>
      <c r="N40" s="129"/>
      <c r="O40" s="129"/>
      <c r="P40" s="129"/>
      <c r="Q40" s="129"/>
      <c r="R40" s="129"/>
      <c r="S40" s="129"/>
      <c r="T40" s="129"/>
      <c r="U40" s="129"/>
      <c r="V40" s="129"/>
      <c r="W40" s="129"/>
      <c r="X40" s="129"/>
      <c r="Y40" s="129"/>
      <c r="Z40" s="129"/>
      <c r="AA40" s="129"/>
      <c r="AB40" s="129"/>
    </row>
    <row r="41" spans="1:28" ht="9.75" customHeight="1" x14ac:dyDescent="0.2">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ht="17.25" x14ac:dyDescent="0.2">
      <c r="A42" s="277"/>
      <c r="B42" s="277"/>
      <c r="C42" s="277"/>
      <c r="D42" s="277"/>
      <c r="E42" s="277"/>
      <c r="F42" s="277"/>
      <c r="G42" s="277"/>
      <c r="H42" s="277"/>
      <c r="I42" s="129"/>
      <c r="J42" s="129"/>
      <c r="K42" s="129"/>
      <c r="L42" s="129"/>
      <c r="M42" s="129"/>
      <c r="N42" s="129"/>
      <c r="O42" s="129"/>
      <c r="P42" s="129"/>
      <c r="Q42" s="129"/>
      <c r="R42" s="129"/>
      <c r="S42" s="129"/>
      <c r="T42" s="129"/>
      <c r="U42" s="129"/>
      <c r="V42" s="129"/>
      <c r="W42" s="129"/>
      <c r="X42" s="129"/>
      <c r="Y42" s="129"/>
      <c r="Z42" s="129"/>
      <c r="AA42" s="129"/>
      <c r="AB42" s="129"/>
    </row>
    <row r="43" spans="1:28" ht="17.25" x14ac:dyDescent="0.2">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row>
    <row r="44" spans="1:28" ht="17.25" x14ac:dyDescent="0.2">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ht="17.25" x14ac:dyDescent="0.2">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ht="17.25" x14ac:dyDescent="0.2">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row>
    <row r="47" spans="1:28" ht="17.25" x14ac:dyDescent="0.2">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row>
    <row r="48" spans="1:28" ht="17.25" x14ac:dyDescent="0.2">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row>
    <row r="49" spans="1:28" ht="17.25" x14ac:dyDescent="0.2">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8" ht="17.25" x14ac:dyDescent="0.2">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row>
    <row r="51" spans="1:28" ht="17.25" x14ac:dyDescent="0.2">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ht="17.25" x14ac:dyDescent="0.2">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row>
    <row r="53" spans="1:28" ht="17.25" x14ac:dyDescent="0.2">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ht="17.25" x14ac:dyDescent="0.2">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ht="17.25" x14ac:dyDescent="0.2">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row>
    <row r="56" spans="1:28" ht="17.25" x14ac:dyDescent="0.2">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row>
    <row r="57" spans="1:28" ht="17.25" x14ac:dyDescent="0.2">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row>
    <row r="58" spans="1:28" ht="17.25" x14ac:dyDescent="0.2">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row>
    <row r="59" spans="1:28" ht="17.25" x14ac:dyDescent="0.2">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row>
    <row r="60" spans="1:28" ht="17.25" x14ac:dyDescent="0.2">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row>
    <row r="61" spans="1:28" ht="17.25" x14ac:dyDescent="0.2">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row>
    <row r="62" spans="1:28" ht="17.25" x14ac:dyDescent="0.2">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ht="17.25" x14ac:dyDescent="0.2">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row>
    <row r="64" spans="1:28" ht="17.25" x14ac:dyDescent="0.2">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row>
    <row r="65" spans="1:28" ht="17.25" x14ac:dyDescent="0.2">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row>
    <row r="66" spans="1:28" ht="17.25" x14ac:dyDescent="0.2">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ht="17.25" x14ac:dyDescent="0.2">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row>
    <row r="68" spans="1:28" ht="17.25" x14ac:dyDescent="0.2">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row>
    <row r="69" spans="1:28" ht="17.25" x14ac:dyDescent="0.2">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ht="17.25" x14ac:dyDescent="0.2">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row>
    <row r="71" spans="1:28" ht="17.25" x14ac:dyDescent="0.2">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row>
    <row r="72" spans="1:28" ht="17.25" x14ac:dyDescent="0.2">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row>
    <row r="73" spans="1:28" ht="17.25" x14ac:dyDescent="0.2">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row>
    <row r="74" spans="1:28" ht="17.25" x14ac:dyDescent="0.2">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row>
    <row r="75" spans="1:28" ht="17.25" x14ac:dyDescent="0.2">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row>
    <row r="76" spans="1:28" ht="17.25" x14ac:dyDescent="0.2">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row>
    <row r="77" spans="1:28" ht="17.25" x14ac:dyDescent="0.2">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ht="17.25" x14ac:dyDescent="0.2">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row>
    <row r="79" spans="1:28" ht="17.25" x14ac:dyDescent="0.2">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row>
    <row r="80" spans="1:28" ht="17.25" x14ac:dyDescent="0.2">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row>
    <row r="81" spans="1:28" ht="17.25" x14ac:dyDescent="0.2">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row>
    <row r="82" spans="1:28" ht="17.25" x14ac:dyDescent="0.2">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row>
    <row r="83" spans="1:28" ht="17.25" x14ac:dyDescent="0.2">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row>
    <row r="84" spans="1:28" ht="17.25" x14ac:dyDescent="0.2">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row>
    <row r="85" spans="1:28" ht="17.25" x14ac:dyDescent="0.2">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row>
    <row r="86" spans="1:28" ht="17.25" x14ac:dyDescent="0.2">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row>
    <row r="87" spans="1:28" ht="17.25" x14ac:dyDescent="0.2">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row>
    <row r="88" spans="1:28" ht="17.25" x14ac:dyDescent="0.2">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row>
    <row r="89" spans="1:28" ht="17.25" x14ac:dyDescent="0.2">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row>
    <row r="90" spans="1:28" ht="17.25" x14ac:dyDescent="0.2">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row>
    <row r="91" spans="1:28" ht="17.25" x14ac:dyDescent="0.2">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row>
    <row r="92" spans="1:28" ht="17.25" x14ac:dyDescent="0.2">
      <c r="A92" s="129"/>
      <c r="B92" s="129"/>
      <c r="C92" s="129"/>
      <c r="D92" s="129"/>
      <c r="E92" s="129"/>
    </row>
    <row r="93" spans="1:28" ht="17.25" x14ac:dyDescent="0.2">
      <c r="A93" s="129"/>
      <c r="B93" s="129"/>
      <c r="C93" s="129"/>
      <c r="D93" s="129"/>
      <c r="E93" s="129"/>
    </row>
    <row r="94" spans="1:28" ht="17.25" x14ac:dyDescent="0.2">
      <c r="A94" s="129"/>
      <c r="B94" s="129"/>
      <c r="C94" s="129"/>
      <c r="D94" s="129"/>
      <c r="E94" s="129"/>
    </row>
    <row r="95" spans="1:28" ht="17.25" x14ac:dyDescent="0.2">
      <c r="A95" s="129"/>
      <c r="B95" s="129"/>
      <c r="C95" s="129"/>
      <c r="D95" s="129"/>
      <c r="E95" s="129"/>
    </row>
    <row r="96" spans="1:28" ht="17.25" x14ac:dyDescent="0.2">
      <c r="A96" s="129"/>
      <c r="B96" s="129"/>
      <c r="C96" s="129"/>
      <c r="D96" s="129"/>
      <c r="E96" s="129"/>
    </row>
    <row r="97" spans="1:5" ht="17.25" x14ac:dyDescent="0.2">
      <c r="A97" s="129"/>
      <c r="B97" s="129"/>
      <c r="C97" s="129"/>
      <c r="D97" s="129"/>
      <c r="E97" s="129"/>
    </row>
    <row r="98" spans="1:5" ht="17.25" x14ac:dyDescent="0.2">
      <c r="A98" s="129"/>
      <c r="B98" s="129"/>
      <c r="C98" s="129"/>
      <c r="D98" s="129"/>
      <c r="E98" s="129"/>
    </row>
    <row r="99" spans="1:5" ht="17.25" x14ac:dyDescent="0.2">
      <c r="A99" s="129"/>
      <c r="B99" s="129"/>
      <c r="C99" s="129"/>
      <c r="D99" s="129"/>
      <c r="E99" s="129"/>
    </row>
    <row r="100" spans="1:5" ht="17.25" x14ac:dyDescent="0.2">
      <c r="A100" s="129"/>
      <c r="B100" s="129"/>
      <c r="C100" s="129"/>
      <c r="D100" s="129"/>
      <c r="E100" s="129"/>
    </row>
  </sheetData>
  <mergeCells count="22">
    <mergeCell ref="A2:A8"/>
    <mergeCell ref="B2:F2"/>
    <mergeCell ref="G2:G8"/>
    <mergeCell ref="B3:F6"/>
    <mergeCell ref="B7:C8"/>
    <mergeCell ref="D7:E8"/>
    <mergeCell ref="F7:F8"/>
    <mergeCell ref="A9:H9"/>
    <mergeCell ref="A11:H11"/>
    <mergeCell ref="A19:H19"/>
    <mergeCell ref="A36:H36"/>
    <mergeCell ref="A38:H38"/>
    <mergeCell ref="A21:H21"/>
    <mergeCell ref="A23:H23"/>
    <mergeCell ref="A15:F15"/>
    <mergeCell ref="A17:H17"/>
    <mergeCell ref="A42:H42"/>
    <mergeCell ref="A40:H40"/>
    <mergeCell ref="A25:H25"/>
    <mergeCell ref="A27:H27"/>
    <mergeCell ref="A29:H29"/>
    <mergeCell ref="A31:H31"/>
  </mergeCells>
  <phoneticPr fontId="0" type="noConversion"/>
  <printOptions horizontalCentered="1"/>
  <pageMargins left="0.75" right="0.75" top="0.78740157480314965" bottom="0.78740157480314965" header="0" footer="0.39370078740157483"/>
  <pageSetup scale="94" orientation="portrait" horizontalDpi="180" verticalDpi="180" r:id="rId1"/>
  <headerFooter alignWithMargins="0">
    <oddFooter xml:space="preserve">&amp;C&amp;9&amp;P/&amp;N&amp;R&amp;9
</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C228"/>
  <sheetViews>
    <sheetView view="pageBreakPreview" zoomScaleSheetLayoutView="100" workbookViewId="0">
      <selection activeCell="A9" sqref="A9:H9"/>
    </sheetView>
  </sheetViews>
  <sheetFormatPr baseColWidth="10" defaultRowHeight="12.75" x14ac:dyDescent="0.2"/>
  <cols>
    <col min="1" max="1" width="18.7109375" style="75" customWidth="1"/>
    <col min="2" max="2" width="11.42578125" style="75"/>
    <col min="3" max="3" width="19" style="75" customWidth="1"/>
    <col min="4" max="4" width="10.42578125" style="75" customWidth="1"/>
    <col min="5" max="5" width="8.7109375" style="75" customWidth="1"/>
    <col min="6" max="6" width="14.5703125" style="75" customWidth="1"/>
    <col min="7" max="7" width="16" style="75" customWidth="1"/>
    <col min="8" max="8" width="6.28515625" style="75" customWidth="1"/>
    <col min="9" max="16384" width="11.42578125" style="75"/>
  </cols>
  <sheetData>
    <row r="1" spans="1:29" x14ac:dyDescent="0.2">
      <c r="A1" s="172"/>
      <c r="B1" s="172"/>
      <c r="C1" s="172"/>
      <c r="D1" s="172"/>
      <c r="E1" s="172"/>
      <c r="F1" s="172"/>
      <c r="G1" s="172"/>
      <c r="H1" s="170"/>
    </row>
    <row r="2" spans="1:29" ht="21.75" customHeight="1" x14ac:dyDescent="0.2">
      <c r="A2" s="285"/>
      <c r="B2" s="283" t="s">
        <v>320</v>
      </c>
      <c r="C2" s="283"/>
      <c r="D2" s="283"/>
      <c r="E2" s="283"/>
      <c r="F2" s="283"/>
      <c r="G2" s="285"/>
      <c r="H2" s="170"/>
    </row>
    <row r="3" spans="1:29" x14ac:dyDescent="0.2">
      <c r="A3" s="285"/>
      <c r="B3" s="284" t="s">
        <v>322</v>
      </c>
      <c r="C3" s="284"/>
      <c r="D3" s="284"/>
      <c r="E3" s="284"/>
      <c r="F3" s="284"/>
      <c r="G3" s="285"/>
      <c r="H3" s="170"/>
    </row>
    <row r="4" spans="1:29" x14ac:dyDescent="0.2">
      <c r="A4" s="285"/>
      <c r="B4" s="284"/>
      <c r="C4" s="284"/>
      <c r="D4" s="284"/>
      <c r="E4" s="284"/>
      <c r="F4" s="284"/>
      <c r="G4" s="285"/>
      <c r="H4" s="170"/>
    </row>
    <row r="5" spans="1:29" s="170" customFormat="1" x14ac:dyDescent="0.2">
      <c r="A5" s="285"/>
      <c r="B5" s="284"/>
      <c r="C5" s="284"/>
      <c r="D5" s="284"/>
      <c r="E5" s="284"/>
      <c r="F5" s="284"/>
      <c r="G5" s="285"/>
    </row>
    <row r="6" spans="1:29" s="170" customFormat="1" ht="17.25" customHeight="1" x14ac:dyDescent="0.2">
      <c r="A6" s="285"/>
      <c r="B6" s="284"/>
      <c r="C6" s="284"/>
      <c r="D6" s="284"/>
      <c r="E6" s="284"/>
      <c r="F6" s="284"/>
      <c r="G6" s="285"/>
    </row>
    <row r="7" spans="1:29" x14ac:dyDescent="0.2">
      <c r="A7" s="285"/>
      <c r="B7" s="284" t="s">
        <v>326</v>
      </c>
      <c r="C7" s="284"/>
      <c r="D7" s="283" t="s">
        <v>323</v>
      </c>
      <c r="E7" s="283"/>
      <c r="F7" s="283" t="s">
        <v>321</v>
      </c>
      <c r="G7" s="285"/>
      <c r="H7" s="170"/>
    </row>
    <row r="8" spans="1:29" x14ac:dyDescent="0.2">
      <c r="A8" s="285"/>
      <c r="B8" s="284"/>
      <c r="C8" s="284"/>
      <c r="D8" s="283"/>
      <c r="E8" s="283"/>
      <c r="F8" s="283"/>
      <c r="G8" s="285"/>
      <c r="H8" s="170"/>
    </row>
    <row r="9" spans="1:29" ht="39.950000000000003" customHeight="1" x14ac:dyDescent="0.2">
      <c r="A9" s="331" t="s">
        <v>357</v>
      </c>
      <c r="B9" s="332"/>
      <c r="C9" s="332"/>
      <c r="D9" s="332"/>
      <c r="E9" s="332"/>
      <c r="F9" s="332"/>
      <c r="G9" s="332"/>
      <c r="H9" s="332"/>
    </row>
    <row r="10" spans="1:29" ht="9.9499999999999993" customHeight="1" x14ac:dyDescent="0.2">
      <c r="A10" s="123"/>
      <c r="B10" s="93"/>
      <c r="C10" s="93"/>
      <c r="D10" s="93"/>
      <c r="E10" s="93"/>
      <c r="F10" s="93"/>
      <c r="G10" s="93"/>
      <c r="H10" s="93"/>
    </row>
    <row r="11" spans="1:29" s="125" customFormat="1" ht="18" customHeight="1" x14ac:dyDescent="0.2">
      <c r="A11" s="334" t="s">
        <v>313</v>
      </c>
      <c r="B11" s="334"/>
      <c r="C11" s="334"/>
      <c r="D11" s="334"/>
      <c r="E11" s="334"/>
      <c r="F11" s="334"/>
      <c r="G11" s="334"/>
      <c r="H11" s="334"/>
    </row>
    <row r="12" spans="1:29" s="125" customFormat="1" ht="9.9499999999999993" customHeight="1" x14ac:dyDescent="0.2">
      <c r="A12" s="124"/>
      <c r="B12" s="124"/>
      <c r="C12" s="124"/>
      <c r="D12" s="124"/>
      <c r="E12" s="124"/>
      <c r="F12" s="124"/>
      <c r="G12" s="124"/>
      <c r="H12" s="124"/>
    </row>
    <row r="13" spans="1:29" s="125" customFormat="1" ht="15" customHeight="1" x14ac:dyDescent="0.2">
      <c r="A13" s="279" t="s">
        <v>209</v>
      </c>
      <c r="B13" s="279"/>
      <c r="C13" s="279"/>
      <c r="D13" s="270"/>
      <c r="E13" s="270"/>
      <c r="F13" s="270"/>
      <c r="G13" s="270"/>
      <c r="H13" s="270"/>
    </row>
    <row r="14" spans="1:29" s="125" customFormat="1" ht="9.9499999999999993" customHeight="1" x14ac:dyDescent="0.2">
      <c r="A14" s="124"/>
      <c r="B14" s="124"/>
      <c r="C14" s="124"/>
      <c r="D14" s="124"/>
      <c r="E14" s="124"/>
      <c r="F14" s="124"/>
      <c r="G14" s="124"/>
      <c r="H14" s="124"/>
    </row>
    <row r="15" spans="1:29" s="125" customFormat="1" ht="140.25" customHeight="1" x14ac:dyDescent="0.2">
      <c r="A15" s="335" t="s">
        <v>354</v>
      </c>
      <c r="B15" s="335"/>
      <c r="C15" s="335"/>
      <c r="D15" s="335"/>
      <c r="E15" s="335"/>
      <c r="F15" s="335"/>
      <c r="G15" s="335"/>
      <c r="H15" s="335"/>
      <c r="K15" s="77"/>
      <c r="L15" s="126"/>
      <c r="M15" s="75"/>
      <c r="N15" s="75"/>
      <c r="O15" s="75"/>
      <c r="P15" s="75"/>
      <c r="Q15" s="75"/>
      <c r="R15" s="75"/>
      <c r="S15" s="75"/>
      <c r="T15" s="75"/>
      <c r="U15" s="75"/>
      <c r="V15" s="75"/>
      <c r="W15" s="75"/>
      <c r="X15" s="75"/>
      <c r="Y15" s="75"/>
      <c r="Z15" s="75"/>
      <c r="AA15" s="75"/>
      <c r="AB15" s="75"/>
      <c r="AC15" s="75"/>
    </row>
    <row r="16" spans="1:29" s="125" customFormat="1" ht="9.9499999999999993" customHeight="1" x14ac:dyDescent="0.2">
      <c r="A16" s="124"/>
      <c r="B16" s="124"/>
      <c r="C16" s="124"/>
      <c r="D16" s="124"/>
      <c r="E16" s="124"/>
      <c r="F16" s="124"/>
      <c r="G16" s="124"/>
      <c r="H16" s="124"/>
    </row>
    <row r="17" spans="1:29" s="125" customFormat="1" ht="12" hidden="1" customHeight="1" x14ac:dyDescent="0.2">
      <c r="A17" s="77" t="s">
        <v>1</v>
      </c>
      <c r="B17" s="99"/>
      <c r="C17" s="99"/>
      <c r="D17" s="99"/>
      <c r="F17" s="99"/>
      <c r="G17" s="99"/>
      <c r="H17" s="99"/>
      <c r="J17" s="77"/>
      <c r="K17" s="77"/>
      <c r="L17" s="126"/>
      <c r="M17" s="75"/>
      <c r="N17" s="75"/>
      <c r="O17" s="75"/>
      <c r="P17" s="75"/>
      <c r="Q17" s="75"/>
      <c r="R17" s="75"/>
      <c r="S17" s="75"/>
      <c r="T17" s="75"/>
      <c r="U17" s="75"/>
      <c r="V17" s="75"/>
      <c r="W17" s="75"/>
      <c r="X17" s="75"/>
      <c r="Y17" s="75"/>
      <c r="Z17" s="75"/>
      <c r="AA17" s="75"/>
      <c r="AB17" s="75"/>
      <c r="AC17" s="75"/>
    </row>
    <row r="18" spans="1:29" s="125" customFormat="1" ht="9" hidden="1" customHeight="1" x14ac:dyDescent="0.2">
      <c r="A18" s="99"/>
      <c r="B18" s="99"/>
      <c r="C18" s="99"/>
      <c r="D18" s="99"/>
      <c r="E18" s="99"/>
      <c r="F18" s="99"/>
      <c r="G18" s="99"/>
      <c r="H18" s="99"/>
      <c r="J18" s="77"/>
      <c r="K18" s="77"/>
      <c r="L18" s="126"/>
      <c r="M18" s="75"/>
      <c r="N18" s="75"/>
      <c r="O18" s="75"/>
      <c r="P18" s="75"/>
      <c r="Q18" s="75"/>
      <c r="R18" s="75"/>
      <c r="S18" s="75"/>
      <c r="T18" s="75"/>
      <c r="U18" s="75"/>
      <c r="V18" s="75"/>
      <c r="W18" s="75"/>
      <c r="X18" s="75"/>
      <c r="Y18" s="75"/>
      <c r="Z18" s="75"/>
      <c r="AA18" s="75"/>
      <c r="AB18" s="75"/>
      <c r="AC18" s="75"/>
    </row>
    <row r="19" spans="1:29" s="125" customFormat="1" ht="12" hidden="1" customHeight="1" x14ac:dyDescent="0.2">
      <c r="A19" s="333" t="s">
        <v>0</v>
      </c>
      <c r="B19" s="333"/>
      <c r="C19" s="333"/>
      <c r="D19" s="333"/>
      <c r="E19" s="333"/>
      <c r="F19" s="333"/>
      <c r="G19" s="99"/>
      <c r="H19" s="99"/>
      <c r="J19" s="77"/>
      <c r="K19" s="77"/>
      <c r="L19" s="126"/>
      <c r="M19" s="75"/>
      <c r="N19" s="75"/>
      <c r="O19" s="75"/>
      <c r="P19" s="75"/>
      <c r="Q19" s="75"/>
      <c r="R19" s="75"/>
      <c r="S19" s="75"/>
      <c r="T19" s="75"/>
      <c r="U19" s="75"/>
      <c r="V19" s="75"/>
      <c r="W19" s="75"/>
      <c r="X19" s="75"/>
      <c r="Y19" s="75"/>
      <c r="Z19" s="75"/>
      <c r="AA19" s="75"/>
      <c r="AB19" s="75"/>
      <c r="AC19" s="75"/>
    </row>
    <row r="20" spans="1:29" s="125" customFormat="1" ht="12" hidden="1" customHeight="1" x14ac:dyDescent="0.2">
      <c r="A20" s="127"/>
      <c r="B20" s="127"/>
      <c r="C20" s="127"/>
      <c r="D20" s="127"/>
      <c r="E20" s="127"/>
      <c r="F20" s="128"/>
      <c r="G20" s="99"/>
      <c r="H20" s="99"/>
      <c r="J20" s="77"/>
      <c r="K20" s="77"/>
      <c r="L20" s="126"/>
      <c r="M20" s="75"/>
      <c r="N20" s="75"/>
      <c r="O20" s="75"/>
      <c r="P20" s="75"/>
      <c r="Q20" s="75"/>
      <c r="R20" s="75"/>
      <c r="S20" s="75"/>
      <c r="T20" s="75"/>
      <c r="U20" s="75"/>
      <c r="V20" s="75"/>
      <c r="W20" s="75"/>
      <c r="X20" s="75"/>
      <c r="Y20" s="75"/>
      <c r="Z20" s="75"/>
      <c r="AA20" s="75"/>
      <c r="AB20" s="75"/>
      <c r="AC20" s="75"/>
    </row>
    <row r="21" spans="1:29" s="125" customFormat="1" ht="36.75" hidden="1" customHeight="1" x14ac:dyDescent="0.2">
      <c r="A21" s="330" t="s">
        <v>247</v>
      </c>
      <c r="B21" s="330"/>
      <c r="C21" s="330"/>
      <c r="D21" s="330"/>
      <c r="E21" s="330"/>
      <c r="F21" s="330"/>
      <c r="G21" s="330"/>
      <c r="H21" s="330"/>
      <c r="J21" s="77"/>
      <c r="K21" s="77"/>
      <c r="L21" s="126"/>
      <c r="M21" s="75"/>
      <c r="N21" s="75"/>
      <c r="O21" s="75"/>
      <c r="P21" s="75"/>
      <c r="Q21" s="75"/>
      <c r="R21" s="75"/>
      <c r="S21" s="75"/>
      <c r="T21" s="75"/>
      <c r="U21" s="75"/>
      <c r="V21" s="75"/>
      <c r="W21" s="75"/>
      <c r="X21" s="75"/>
      <c r="Y21" s="75"/>
      <c r="Z21" s="75"/>
      <c r="AA21" s="75"/>
      <c r="AB21" s="75"/>
      <c r="AC21" s="75"/>
    </row>
    <row r="22" spans="1:29" s="125" customFormat="1" ht="9" hidden="1" customHeight="1" x14ac:dyDescent="0.2">
      <c r="A22" s="127"/>
      <c r="B22" s="127"/>
      <c r="C22" s="127"/>
      <c r="D22" s="127"/>
      <c r="E22" s="127"/>
      <c r="F22" s="128"/>
      <c r="G22" s="99"/>
      <c r="H22" s="99"/>
      <c r="J22" s="77"/>
      <c r="K22" s="77"/>
      <c r="L22" s="126"/>
      <c r="M22" s="75"/>
      <c r="N22" s="75"/>
      <c r="O22" s="75"/>
      <c r="P22" s="75"/>
      <c r="Q22" s="75"/>
      <c r="R22" s="75"/>
      <c r="S22" s="75"/>
      <c r="T22" s="75"/>
      <c r="U22" s="75"/>
      <c r="V22" s="75"/>
      <c r="W22" s="75"/>
      <c r="X22" s="75"/>
      <c r="Y22" s="75"/>
      <c r="Z22" s="75"/>
      <c r="AA22" s="75"/>
      <c r="AB22" s="75"/>
      <c r="AC22" s="75"/>
    </row>
    <row r="23" spans="1:29" s="125" customFormat="1" ht="27" hidden="1" customHeight="1" x14ac:dyDescent="0.2">
      <c r="A23" s="330" t="s">
        <v>240</v>
      </c>
      <c r="B23" s="330"/>
      <c r="C23" s="330"/>
      <c r="D23" s="330"/>
      <c r="E23" s="330"/>
      <c r="F23" s="330"/>
      <c r="G23" s="330"/>
      <c r="H23" s="330"/>
      <c r="J23" s="77"/>
      <c r="K23" s="77"/>
      <c r="L23" s="126"/>
      <c r="M23" s="75"/>
      <c r="N23" s="75"/>
      <c r="O23" s="75"/>
      <c r="P23" s="75"/>
      <c r="Q23" s="75"/>
      <c r="R23" s="75"/>
      <c r="S23" s="75"/>
      <c r="T23" s="75"/>
      <c r="U23" s="75"/>
      <c r="V23" s="75"/>
      <c r="W23" s="75"/>
      <c r="X23" s="75"/>
      <c r="Y23" s="75"/>
      <c r="Z23" s="75"/>
      <c r="AA23" s="75"/>
      <c r="AB23" s="75"/>
      <c r="AC23" s="75"/>
    </row>
    <row r="24" spans="1:29" s="125" customFormat="1" ht="9" hidden="1" customHeight="1" x14ac:dyDescent="0.2">
      <c r="A24" s="127"/>
      <c r="B24" s="127"/>
      <c r="C24" s="127"/>
      <c r="D24" s="127"/>
      <c r="E24" s="127"/>
      <c r="F24" s="128"/>
      <c r="G24" s="99"/>
      <c r="H24" s="99"/>
      <c r="J24" s="77"/>
      <c r="K24" s="77"/>
      <c r="L24" s="126"/>
      <c r="M24" s="75"/>
      <c r="N24" s="75"/>
      <c r="O24" s="75"/>
      <c r="P24" s="75"/>
      <c r="Q24" s="75"/>
      <c r="R24" s="75"/>
      <c r="S24" s="75"/>
      <c r="T24" s="75"/>
      <c r="U24" s="75"/>
      <c r="V24" s="75"/>
      <c r="W24" s="75"/>
      <c r="X24" s="75"/>
      <c r="Y24" s="75"/>
      <c r="Z24" s="75"/>
      <c r="AA24" s="75"/>
      <c r="AB24" s="75"/>
      <c r="AC24" s="75"/>
    </row>
    <row r="25" spans="1:29" s="125" customFormat="1" ht="37.5" hidden="1" customHeight="1" x14ac:dyDescent="0.2">
      <c r="A25" s="330" t="s">
        <v>248</v>
      </c>
      <c r="B25" s="330"/>
      <c r="C25" s="330"/>
      <c r="D25" s="330"/>
      <c r="E25" s="330"/>
      <c r="F25" s="330"/>
      <c r="G25" s="330"/>
      <c r="H25" s="330"/>
      <c r="J25" s="77"/>
      <c r="K25" s="77"/>
      <c r="L25" s="126"/>
      <c r="M25" s="75"/>
      <c r="N25" s="75"/>
      <c r="O25" s="75"/>
      <c r="P25" s="75"/>
      <c r="Q25" s="75"/>
      <c r="R25" s="75"/>
      <c r="S25" s="75"/>
      <c r="T25" s="75"/>
      <c r="U25" s="75"/>
      <c r="V25" s="75"/>
      <c r="W25" s="75"/>
      <c r="X25" s="75"/>
      <c r="Y25" s="75"/>
      <c r="Z25" s="75"/>
      <c r="AA25" s="75"/>
      <c r="AB25" s="75"/>
      <c r="AC25" s="75"/>
    </row>
    <row r="26" spans="1:29" s="125" customFormat="1" ht="9" hidden="1" customHeight="1" x14ac:dyDescent="0.2">
      <c r="A26" s="99"/>
      <c r="B26" s="99"/>
      <c r="C26" s="99"/>
      <c r="D26" s="99"/>
      <c r="E26" s="99"/>
      <c r="F26" s="99"/>
      <c r="G26" s="99"/>
      <c r="H26" s="99"/>
      <c r="J26" s="77"/>
      <c r="K26" s="77"/>
      <c r="L26" s="126"/>
      <c r="M26" s="75"/>
      <c r="N26" s="75"/>
      <c r="O26" s="75"/>
      <c r="P26" s="75"/>
      <c r="Q26" s="75"/>
      <c r="R26" s="75"/>
      <c r="S26" s="75"/>
      <c r="T26" s="75"/>
      <c r="U26" s="75"/>
      <c r="V26" s="75"/>
      <c r="W26" s="75"/>
      <c r="X26" s="75"/>
      <c r="Y26" s="75"/>
      <c r="Z26" s="75"/>
      <c r="AA26" s="75"/>
      <c r="AB26" s="75"/>
      <c r="AC26" s="75"/>
    </row>
    <row r="27" spans="1:29" s="125" customFormat="1" ht="24.75" hidden="1" customHeight="1" x14ac:dyDescent="0.2">
      <c r="A27" s="330" t="s">
        <v>242</v>
      </c>
      <c r="B27" s="330"/>
      <c r="C27" s="330"/>
      <c r="D27" s="330"/>
      <c r="E27" s="330"/>
      <c r="F27" s="330"/>
      <c r="G27" s="330"/>
      <c r="H27" s="330"/>
      <c r="J27" s="77"/>
      <c r="K27" s="77"/>
      <c r="L27" s="126"/>
      <c r="M27" s="75"/>
      <c r="N27" s="75"/>
      <c r="O27" s="75"/>
      <c r="P27" s="75"/>
      <c r="Q27" s="75"/>
      <c r="R27" s="75"/>
      <c r="S27" s="75"/>
      <c r="T27" s="75"/>
      <c r="U27" s="75"/>
      <c r="V27" s="75"/>
      <c r="W27" s="75"/>
      <c r="X27" s="75"/>
      <c r="Y27" s="75"/>
      <c r="Z27" s="75"/>
      <c r="AA27" s="75"/>
      <c r="AB27" s="75"/>
      <c r="AC27" s="75"/>
    </row>
    <row r="28" spans="1:29" s="125" customFormat="1" ht="9" hidden="1" customHeight="1" x14ac:dyDescent="0.2">
      <c r="A28" s="127"/>
      <c r="B28" s="127"/>
      <c r="C28" s="127"/>
      <c r="D28" s="127"/>
      <c r="E28" s="127"/>
      <c r="F28" s="128"/>
      <c r="G28" s="99"/>
      <c r="H28" s="99"/>
      <c r="J28" s="77"/>
      <c r="K28" s="77"/>
      <c r="L28" s="126"/>
      <c r="M28" s="75"/>
      <c r="N28" s="75"/>
      <c r="O28" s="75"/>
      <c r="P28" s="75"/>
      <c r="Q28" s="75"/>
      <c r="R28" s="75"/>
      <c r="S28" s="75"/>
      <c r="T28" s="75"/>
      <c r="U28" s="75"/>
      <c r="V28" s="75"/>
      <c r="W28" s="75"/>
      <c r="X28" s="75"/>
      <c r="Y28" s="75"/>
      <c r="Z28" s="75"/>
      <c r="AA28" s="75"/>
      <c r="AB28" s="75"/>
      <c r="AC28" s="75"/>
    </row>
    <row r="29" spans="1:29" s="125" customFormat="1" ht="28.5" hidden="1" customHeight="1" x14ac:dyDescent="0.2">
      <c r="A29" s="330" t="s">
        <v>243</v>
      </c>
      <c r="B29" s="330"/>
      <c r="C29" s="330"/>
      <c r="D29" s="330"/>
      <c r="E29" s="330"/>
      <c r="F29" s="330"/>
      <c r="G29" s="330"/>
      <c r="H29" s="330"/>
      <c r="J29" s="77"/>
      <c r="K29" s="77"/>
      <c r="L29" s="126"/>
      <c r="M29" s="75"/>
      <c r="N29" s="75"/>
      <c r="O29" s="75"/>
      <c r="P29" s="75"/>
      <c r="Q29" s="75"/>
      <c r="R29" s="75"/>
      <c r="S29" s="75"/>
      <c r="T29" s="75"/>
      <c r="U29" s="75"/>
      <c r="V29" s="75"/>
      <c r="W29" s="75"/>
      <c r="X29" s="75"/>
      <c r="Y29" s="75"/>
      <c r="Z29" s="75"/>
      <c r="AA29" s="75"/>
      <c r="AB29" s="75"/>
      <c r="AC29" s="75"/>
    </row>
    <row r="30" spans="1:29" s="125" customFormat="1" ht="9" hidden="1" customHeight="1" x14ac:dyDescent="0.2">
      <c r="A30" s="127"/>
      <c r="B30" s="127"/>
      <c r="C30" s="127"/>
      <c r="D30" s="127"/>
      <c r="E30" s="127"/>
      <c r="F30" s="128"/>
      <c r="G30" s="99"/>
      <c r="H30" s="99"/>
      <c r="J30" s="77"/>
      <c r="K30" s="77"/>
      <c r="L30" s="126"/>
      <c r="M30" s="75"/>
      <c r="N30" s="75"/>
      <c r="O30" s="75"/>
      <c r="P30" s="75"/>
      <c r="Q30" s="75"/>
      <c r="R30" s="75"/>
      <c r="S30" s="75"/>
      <c r="T30" s="75"/>
      <c r="U30" s="75"/>
      <c r="V30" s="75"/>
      <c r="W30" s="75"/>
      <c r="X30" s="75"/>
      <c r="Y30" s="75"/>
      <c r="Z30" s="75"/>
      <c r="AA30" s="75"/>
      <c r="AB30" s="75"/>
      <c r="AC30" s="75"/>
    </row>
    <row r="31" spans="1:29" s="125" customFormat="1" ht="26.25" hidden="1" customHeight="1" x14ac:dyDescent="0.2">
      <c r="A31" s="330" t="s">
        <v>244</v>
      </c>
      <c r="B31" s="330"/>
      <c r="C31" s="330"/>
      <c r="D31" s="330"/>
      <c r="E31" s="330"/>
      <c r="F31" s="330"/>
      <c r="G31" s="330"/>
      <c r="H31" s="330"/>
      <c r="J31" s="77"/>
      <c r="K31" s="77"/>
      <c r="L31" s="126"/>
      <c r="M31" s="75"/>
      <c r="N31" s="75"/>
      <c r="O31" s="75"/>
      <c r="P31" s="75"/>
      <c r="Q31" s="75"/>
      <c r="R31" s="75"/>
      <c r="S31" s="75"/>
      <c r="T31" s="75"/>
      <c r="U31" s="75"/>
      <c r="V31" s="75"/>
      <c r="W31" s="75"/>
      <c r="X31" s="75"/>
      <c r="Y31" s="75"/>
      <c r="Z31" s="75"/>
      <c r="AA31" s="75"/>
      <c r="AB31" s="75"/>
      <c r="AC31" s="75"/>
    </row>
    <row r="32" spans="1:29" s="125" customFormat="1" ht="9" hidden="1" customHeight="1" x14ac:dyDescent="0.2">
      <c r="A32" s="127"/>
      <c r="B32" s="127"/>
      <c r="C32" s="127"/>
      <c r="D32" s="127"/>
      <c r="E32" s="127"/>
      <c r="F32" s="128"/>
      <c r="G32" s="99"/>
      <c r="H32" s="99"/>
      <c r="J32" s="77"/>
      <c r="K32" s="77"/>
      <c r="L32" s="126"/>
      <c r="M32" s="75"/>
      <c r="N32" s="75"/>
      <c r="O32" s="75"/>
      <c r="P32" s="75"/>
      <c r="Q32" s="75"/>
      <c r="R32" s="75"/>
      <c r="S32" s="75"/>
      <c r="T32" s="75"/>
      <c r="U32" s="75"/>
      <c r="V32" s="75"/>
      <c r="W32" s="75"/>
      <c r="X32" s="75"/>
      <c r="Y32" s="75"/>
      <c r="Z32" s="75"/>
      <c r="AA32" s="75"/>
      <c r="AB32" s="75"/>
      <c r="AC32" s="75"/>
    </row>
    <row r="33" spans="1:29" s="125" customFormat="1" ht="51.75" hidden="1" customHeight="1" x14ac:dyDescent="0.2">
      <c r="A33" s="330" t="s">
        <v>249</v>
      </c>
      <c r="B33" s="330"/>
      <c r="C33" s="330"/>
      <c r="D33" s="330"/>
      <c r="E33" s="330"/>
      <c r="F33" s="330"/>
      <c r="G33" s="330"/>
      <c r="H33" s="330"/>
      <c r="J33" s="77"/>
      <c r="K33" s="77"/>
      <c r="L33" s="126"/>
      <c r="M33" s="75"/>
      <c r="N33" s="75"/>
      <c r="O33" s="75"/>
      <c r="P33" s="75"/>
      <c r="Q33" s="75"/>
      <c r="R33" s="75"/>
      <c r="S33" s="75"/>
      <c r="T33" s="75"/>
      <c r="U33" s="75"/>
      <c r="V33" s="75"/>
      <c r="W33" s="75"/>
      <c r="X33" s="75"/>
      <c r="Y33" s="75"/>
      <c r="Z33" s="75"/>
      <c r="AA33" s="75"/>
      <c r="AB33" s="75"/>
      <c r="AC33" s="75"/>
    </row>
    <row r="34" spans="1:29" s="125" customFormat="1" ht="9" hidden="1" customHeight="1" x14ac:dyDescent="0.2">
      <c r="A34" s="127"/>
      <c r="B34" s="127"/>
      <c r="C34" s="127"/>
      <c r="D34" s="127"/>
      <c r="E34" s="127"/>
      <c r="F34" s="128"/>
      <c r="G34" s="99"/>
      <c r="H34" s="99"/>
      <c r="J34" s="77"/>
      <c r="K34" s="77"/>
      <c r="L34" s="126"/>
      <c r="M34" s="75"/>
      <c r="N34" s="75"/>
      <c r="O34" s="75"/>
      <c r="P34" s="75"/>
      <c r="Q34" s="75"/>
      <c r="R34" s="75"/>
      <c r="S34" s="75"/>
      <c r="T34" s="75"/>
      <c r="U34" s="75"/>
      <c r="V34" s="75"/>
      <c r="W34" s="75"/>
      <c r="X34" s="75"/>
      <c r="Y34" s="75"/>
      <c r="Z34" s="75"/>
      <c r="AA34" s="75"/>
      <c r="AB34" s="75"/>
      <c r="AC34" s="75"/>
    </row>
    <row r="35" spans="1:29" s="125" customFormat="1" ht="27" hidden="1" customHeight="1" x14ac:dyDescent="0.2">
      <c r="A35" s="330" t="s">
        <v>250</v>
      </c>
      <c r="B35" s="330"/>
      <c r="C35" s="330"/>
      <c r="D35" s="330"/>
      <c r="E35" s="330"/>
      <c r="F35" s="330"/>
      <c r="G35" s="330"/>
      <c r="H35" s="330"/>
      <c r="J35" s="77"/>
      <c r="K35" s="77"/>
      <c r="L35" s="126"/>
      <c r="M35" s="75"/>
      <c r="N35" s="75"/>
      <c r="O35" s="75"/>
      <c r="P35" s="75"/>
      <c r="Q35" s="75"/>
      <c r="R35" s="75"/>
      <c r="S35" s="75"/>
      <c r="T35" s="75"/>
      <c r="U35" s="75"/>
      <c r="V35" s="75"/>
      <c r="W35" s="75"/>
      <c r="X35" s="75"/>
      <c r="Y35" s="75"/>
      <c r="Z35" s="75"/>
      <c r="AA35" s="75"/>
      <c r="AB35" s="75"/>
      <c r="AC35" s="75"/>
    </row>
    <row r="36" spans="1:29" s="125" customFormat="1" ht="15" hidden="1" customHeight="1" x14ac:dyDescent="0.2">
      <c r="A36" s="77"/>
      <c r="B36" s="99"/>
      <c r="C36" s="99"/>
      <c r="D36" s="99"/>
      <c r="E36" s="99"/>
      <c r="F36" s="99"/>
      <c r="G36" s="99"/>
      <c r="H36" s="99"/>
      <c r="J36" s="77"/>
      <c r="K36" s="77"/>
      <c r="L36" s="126"/>
      <c r="M36" s="75"/>
      <c r="N36" s="75"/>
      <c r="O36" s="75"/>
      <c r="P36" s="75"/>
      <c r="Q36" s="75"/>
      <c r="R36" s="75"/>
      <c r="S36" s="75"/>
      <c r="T36" s="75"/>
      <c r="U36" s="75"/>
      <c r="V36" s="75"/>
      <c r="W36" s="75"/>
      <c r="X36" s="75"/>
      <c r="Y36" s="75"/>
      <c r="Z36" s="75"/>
      <c r="AA36" s="75"/>
      <c r="AB36" s="75"/>
      <c r="AC36" s="75"/>
    </row>
    <row r="37" spans="1:29" s="125" customFormat="1" ht="15" customHeight="1" x14ac:dyDescent="0.2">
      <c r="A37" s="279" t="s">
        <v>269</v>
      </c>
      <c r="B37" s="279"/>
      <c r="C37" s="279"/>
      <c r="D37" s="270"/>
      <c r="E37" s="270"/>
      <c r="F37" s="270"/>
      <c r="G37" s="270"/>
      <c r="H37" s="270"/>
    </row>
    <row r="38" spans="1:29" ht="9" customHeight="1" x14ac:dyDescent="0.2">
      <c r="A38" s="77"/>
      <c r="P38" s="130"/>
    </row>
    <row r="39" spans="1:29" ht="15" customHeight="1" x14ac:dyDescent="0.2">
      <c r="A39" s="75" t="s">
        <v>130</v>
      </c>
      <c r="D39" s="145">
        <v>15</v>
      </c>
      <c r="E39" s="75" t="s">
        <v>128</v>
      </c>
      <c r="P39" s="130"/>
    </row>
    <row r="40" spans="1:29" ht="15" customHeight="1" x14ac:dyDescent="0.2">
      <c r="A40" s="75" t="s">
        <v>75</v>
      </c>
      <c r="D40" s="131">
        <f>LOOKUP(D39,'Viscosidad, Numero Hazen'!A5:A35,'Viscosidad, Numero Hazen'!E5:E35)</f>
        <v>1.1459970174051426E-2</v>
      </c>
      <c r="E40" s="75" t="s">
        <v>251</v>
      </c>
      <c r="P40" s="130"/>
    </row>
    <row r="41" spans="1:29" ht="15" customHeight="1" x14ac:dyDescent="0.2">
      <c r="A41" s="75" t="s">
        <v>76</v>
      </c>
      <c r="D41" s="145">
        <v>0.02</v>
      </c>
      <c r="E41" s="75" t="s">
        <v>64</v>
      </c>
      <c r="P41" s="130"/>
    </row>
    <row r="42" spans="1:29" ht="15" customHeight="1" x14ac:dyDescent="0.2">
      <c r="A42" s="75" t="s">
        <v>77</v>
      </c>
      <c r="D42" s="145">
        <v>87.5</v>
      </c>
      <c r="E42" s="75" t="s">
        <v>65</v>
      </c>
      <c r="P42" s="130"/>
    </row>
    <row r="43" spans="1:29" ht="15" customHeight="1" x14ac:dyDescent="0.2">
      <c r="A43" s="75" t="s">
        <v>78</v>
      </c>
      <c r="D43" s="145">
        <v>981</v>
      </c>
      <c r="E43" s="75" t="s">
        <v>252</v>
      </c>
      <c r="P43" s="130"/>
    </row>
    <row r="44" spans="1:29" ht="15" customHeight="1" x14ac:dyDescent="0.2">
      <c r="A44" s="75" t="s">
        <v>253</v>
      </c>
      <c r="D44" s="133">
        <v>2.65</v>
      </c>
      <c r="E44" s="75" t="s">
        <v>254</v>
      </c>
      <c r="F44" s="90" t="s">
        <v>190</v>
      </c>
      <c r="P44" s="130"/>
      <c r="V44" s="132"/>
      <c r="W44" s="132"/>
      <c r="X44" s="132"/>
      <c r="Y44" s="132"/>
      <c r="Z44" s="132"/>
      <c r="AA44" s="132"/>
      <c r="AB44" s="132"/>
      <c r="AC44" s="132"/>
    </row>
    <row r="45" spans="1:29" ht="15" customHeight="1" x14ac:dyDescent="0.2">
      <c r="A45" s="75" t="s">
        <v>255</v>
      </c>
      <c r="D45" s="133">
        <v>1</v>
      </c>
      <c r="E45" s="75" t="s">
        <v>254</v>
      </c>
      <c r="J45" s="127"/>
      <c r="K45" s="127"/>
      <c r="L45" s="127"/>
      <c r="M45" s="127"/>
      <c r="N45" s="127"/>
      <c r="O45" s="128"/>
      <c r="P45" s="130"/>
      <c r="V45" s="132"/>
      <c r="W45" s="132"/>
      <c r="X45" s="132"/>
      <c r="Y45" s="132"/>
      <c r="Z45" s="132"/>
      <c r="AA45" s="132"/>
      <c r="AB45" s="132"/>
      <c r="AC45" s="132"/>
    </row>
    <row r="46" spans="1:29" s="77" customFormat="1" ht="9.9499999999999993" customHeight="1" x14ac:dyDescent="0.2">
      <c r="A46" s="99"/>
      <c r="B46" s="99"/>
      <c r="C46" s="99"/>
      <c r="D46" s="99"/>
      <c r="E46" s="99"/>
      <c r="F46" s="99"/>
      <c r="G46" s="99"/>
    </row>
    <row r="47" spans="1:29" s="77" customFormat="1" ht="15" customHeight="1" x14ac:dyDescent="0.2">
      <c r="A47" s="279" t="s">
        <v>270</v>
      </c>
      <c r="B47" s="279"/>
      <c r="C47" s="279"/>
      <c r="D47" s="270"/>
      <c r="E47" s="270"/>
      <c r="F47" s="270"/>
      <c r="G47" s="270"/>
      <c r="H47" s="270"/>
    </row>
    <row r="48" spans="1:29" s="77" customFormat="1" ht="9.9499999999999993" customHeight="1" x14ac:dyDescent="0.2">
      <c r="B48" s="81"/>
      <c r="C48" s="81"/>
      <c r="D48" s="81"/>
      <c r="E48" s="81"/>
      <c r="F48" s="81"/>
      <c r="G48" s="81"/>
    </row>
    <row r="49" spans="1:29" ht="15" customHeight="1" x14ac:dyDescent="0.2">
      <c r="A49" s="279" t="s">
        <v>271</v>
      </c>
      <c r="B49" s="270"/>
      <c r="C49" s="270"/>
      <c r="D49" s="270"/>
      <c r="E49" s="270"/>
      <c r="F49" s="270"/>
      <c r="G49" s="270"/>
      <c r="H49" s="270"/>
      <c r="P49" s="130"/>
      <c r="V49" s="132"/>
      <c r="W49" s="132"/>
      <c r="X49" s="132"/>
      <c r="Y49" s="132"/>
      <c r="Z49" s="132"/>
      <c r="AA49" s="132"/>
      <c r="AB49" s="132"/>
      <c r="AC49" s="132"/>
    </row>
    <row r="50" spans="1:29" ht="9.9499999999999993" customHeight="1" x14ac:dyDescent="0.2">
      <c r="A50" s="77"/>
      <c r="P50" s="130"/>
      <c r="V50" s="132"/>
      <c r="W50" s="132"/>
      <c r="X50" s="132"/>
      <c r="Y50" s="132"/>
      <c r="Z50" s="132"/>
      <c r="AA50" s="132"/>
      <c r="AB50" s="132"/>
      <c r="AC50" s="132"/>
    </row>
    <row r="51" spans="1:29" ht="15" customHeight="1" x14ac:dyDescent="0.2">
      <c r="A51" s="335" t="s">
        <v>131</v>
      </c>
      <c r="B51" s="335"/>
      <c r="C51" s="335"/>
      <c r="D51" s="335"/>
      <c r="E51" s="335"/>
      <c r="F51" s="335"/>
      <c r="G51" s="335"/>
      <c r="H51" s="335"/>
      <c r="P51" s="130"/>
      <c r="V51" s="132"/>
      <c r="W51" s="132"/>
      <c r="X51" s="132"/>
      <c r="Y51" s="132"/>
      <c r="Z51" s="132"/>
      <c r="AA51" s="132"/>
      <c r="AB51" s="132"/>
      <c r="AC51" s="132"/>
    </row>
    <row r="52" spans="1:29" ht="9.9499999999999993" customHeight="1" x14ac:dyDescent="0.2">
      <c r="P52" s="130"/>
      <c r="V52" s="132"/>
      <c r="W52" s="132"/>
      <c r="X52" s="132"/>
      <c r="Y52" s="132"/>
      <c r="Z52" s="132"/>
      <c r="AA52" s="132"/>
      <c r="AB52" s="132"/>
      <c r="AC52" s="132"/>
    </row>
    <row r="53" spans="1:29" s="77" customFormat="1" ht="15" customHeight="1" x14ac:dyDescent="0.2">
      <c r="B53" s="134"/>
      <c r="C53" s="336" t="s">
        <v>256</v>
      </c>
      <c r="D53" s="336"/>
      <c r="E53" s="336"/>
      <c r="F53" s="337" t="s">
        <v>132</v>
      </c>
      <c r="G53" s="338"/>
      <c r="H53" s="134"/>
      <c r="P53" s="130"/>
      <c r="Q53" s="75"/>
      <c r="R53" s="75"/>
      <c r="S53" s="75"/>
      <c r="T53" s="75"/>
      <c r="U53" s="75"/>
      <c r="V53" s="87"/>
      <c r="W53" s="87"/>
      <c r="X53" s="87"/>
      <c r="Y53" s="87"/>
      <c r="Z53" s="87"/>
      <c r="AA53" s="87"/>
      <c r="AB53" s="87"/>
      <c r="AC53" s="87"/>
    </row>
    <row r="54" spans="1:29" ht="9.9499999999999993" customHeight="1" x14ac:dyDescent="0.2">
      <c r="P54" s="130"/>
      <c r="V54" s="132"/>
      <c r="W54" s="132"/>
      <c r="X54" s="132"/>
      <c r="Y54" s="132"/>
      <c r="Z54" s="132"/>
      <c r="AA54" s="132"/>
      <c r="AB54" s="132"/>
      <c r="AC54" s="132"/>
    </row>
    <row r="55" spans="1:29" ht="15" customHeight="1" x14ac:dyDescent="0.2">
      <c r="C55" s="272" t="s">
        <v>257</v>
      </c>
      <c r="D55" s="272"/>
      <c r="E55" s="272"/>
      <c r="F55" s="77" t="s">
        <v>287</v>
      </c>
      <c r="P55" s="130"/>
      <c r="V55" s="132"/>
      <c r="W55" s="132"/>
      <c r="X55" s="132"/>
      <c r="Y55" s="132"/>
      <c r="Z55" s="132"/>
      <c r="AA55" s="132"/>
      <c r="AB55" s="132"/>
      <c r="AC55" s="132"/>
    </row>
    <row r="56" spans="1:29" ht="9.9499999999999993" customHeight="1" x14ac:dyDescent="0.2">
      <c r="P56" s="130"/>
      <c r="V56" s="132"/>
      <c r="W56" s="132"/>
      <c r="X56" s="132"/>
      <c r="Y56" s="132"/>
      <c r="Z56" s="132"/>
      <c r="AA56" s="132"/>
      <c r="AB56" s="132"/>
      <c r="AC56" s="132"/>
    </row>
    <row r="57" spans="1:29" ht="15" customHeight="1" x14ac:dyDescent="0.2">
      <c r="C57" s="84" t="s">
        <v>258</v>
      </c>
      <c r="D57" s="83">
        <f>(D43*(D44-D45)*D41^2)/(18*D40)</f>
        <v>3.1387516244541476</v>
      </c>
      <c r="E57" s="75" t="s">
        <v>66</v>
      </c>
      <c r="P57" s="130"/>
      <c r="V57" s="132"/>
      <c r="W57" s="132"/>
      <c r="X57" s="132"/>
      <c r="Y57" s="132"/>
      <c r="Z57" s="132"/>
      <c r="AA57" s="132"/>
      <c r="AB57" s="132"/>
      <c r="AC57" s="132"/>
    </row>
    <row r="58" spans="1:29" ht="15" customHeight="1" x14ac:dyDescent="0.2">
      <c r="A58" s="75" t="s">
        <v>259</v>
      </c>
      <c r="D58" s="173">
        <v>2.1</v>
      </c>
      <c r="E58" s="90" t="s">
        <v>66</v>
      </c>
      <c r="F58" s="77" t="s">
        <v>287</v>
      </c>
      <c r="P58" s="130"/>
      <c r="V58" s="132"/>
      <c r="W58" s="132"/>
      <c r="X58" s="132"/>
      <c r="Y58" s="132"/>
      <c r="Z58" s="132"/>
      <c r="AA58" s="132"/>
      <c r="AB58" s="132"/>
      <c r="AC58" s="132"/>
    </row>
    <row r="59" spans="1:29" ht="15" customHeight="1" x14ac:dyDescent="0.2">
      <c r="A59" s="75" t="s">
        <v>275</v>
      </c>
      <c r="D59" s="83">
        <f>+D58*((D39+23.3)/33.3)</f>
        <v>2.4153153153153153</v>
      </c>
      <c r="E59" s="75" t="s">
        <v>66</v>
      </c>
    </row>
    <row r="60" spans="1:29" ht="9.9499999999999993" customHeight="1" x14ac:dyDescent="0.2">
      <c r="D60" s="89"/>
    </row>
    <row r="61" spans="1:29" ht="15" customHeight="1" x14ac:dyDescent="0.2">
      <c r="A61" s="77" t="s">
        <v>260</v>
      </c>
      <c r="B61" s="77"/>
      <c r="C61" s="77"/>
      <c r="D61" s="146">
        <f>(+D59+D57)/2</f>
        <v>2.7770334698847314</v>
      </c>
      <c r="E61" s="77" t="s">
        <v>66</v>
      </c>
    </row>
    <row r="62" spans="1:29" s="77" customFormat="1" ht="9.9499999999999993" customHeight="1" x14ac:dyDescent="0.2">
      <c r="B62" s="81"/>
      <c r="C62" s="81"/>
      <c r="D62" s="81"/>
      <c r="E62" s="81"/>
      <c r="F62" s="81"/>
      <c r="G62" s="81"/>
    </row>
    <row r="63" spans="1:29" ht="15" customHeight="1" x14ac:dyDescent="0.2">
      <c r="A63" s="279" t="s">
        <v>272</v>
      </c>
      <c r="B63" s="270"/>
      <c r="C63" s="270"/>
      <c r="D63" s="270"/>
      <c r="E63" s="270"/>
      <c r="F63" s="270"/>
      <c r="G63" s="270"/>
      <c r="H63" s="270"/>
      <c r="P63" s="130"/>
      <c r="V63" s="132"/>
      <c r="W63" s="132"/>
      <c r="X63" s="132"/>
      <c r="Y63" s="132"/>
      <c r="Z63" s="132"/>
      <c r="AA63" s="132"/>
      <c r="AB63" s="132"/>
      <c r="AC63" s="132"/>
    </row>
    <row r="64" spans="1:29" ht="9.9499999999999993" customHeight="1" x14ac:dyDescent="0.2">
      <c r="A64" s="77"/>
      <c r="P64" s="130"/>
      <c r="V64" s="132"/>
      <c r="W64" s="132"/>
      <c r="X64" s="132"/>
      <c r="Y64" s="132"/>
      <c r="Z64" s="132"/>
      <c r="AA64" s="132"/>
      <c r="AB64" s="132"/>
      <c r="AC64" s="132"/>
    </row>
    <row r="65" spans="1:29" ht="15" customHeight="1" x14ac:dyDescent="0.2">
      <c r="A65" s="77" t="s">
        <v>86</v>
      </c>
      <c r="B65" s="77"/>
      <c r="C65" s="77"/>
      <c r="D65" s="135"/>
      <c r="E65" s="77"/>
    </row>
    <row r="66" spans="1:29" ht="15" customHeight="1" x14ac:dyDescent="0.2">
      <c r="A66" s="75" t="s">
        <v>89</v>
      </c>
      <c r="C66" s="84" t="s">
        <v>90</v>
      </c>
      <c r="D66" s="133">
        <v>1.5</v>
      </c>
      <c r="E66" s="75" t="s">
        <v>54</v>
      </c>
    </row>
    <row r="67" spans="1:29" ht="15" customHeight="1" x14ac:dyDescent="0.2">
      <c r="A67" s="75" t="s">
        <v>91</v>
      </c>
      <c r="C67" s="84" t="s">
        <v>92</v>
      </c>
      <c r="D67" s="133">
        <v>0.9</v>
      </c>
      <c r="E67" s="75" t="s">
        <v>54</v>
      </c>
    </row>
    <row r="68" spans="1:29" ht="15" customHeight="1" x14ac:dyDescent="0.2">
      <c r="A68" s="75" t="s">
        <v>93</v>
      </c>
      <c r="C68" s="84" t="s">
        <v>94</v>
      </c>
      <c r="D68" s="133">
        <v>0.8</v>
      </c>
      <c r="E68" s="75" t="s">
        <v>54</v>
      </c>
    </row>
    <row r="69" spans="1:29" ht="15" customHeight="1" x14ac:dyDescent="0.2">
      <c r="A69" s="86" t="s">
        <v>96</v>
      </c>
      <c r="B69" s="84"/>
      <c r="C69" s="84" t="s">
        <v>95</v>
      </c>
      <c r="D69" s="85">
        <f>+D68*D67*D66</f>
        <v>1.08</v>
      </c>
      <c r="E69" s="75" t="s">
        <v>261</v>
      </c>
      <c r="F69" s="89"/>
    </row>
    <row r="70" spans="1:29" ht="9.9499999999999993" customHeight="1" x14ac:dyDescent="0.2">
      <c r="A70" s="86"/>
      <c r="B70" s="84"/>
      <c r="C70" s="84"/>
      <c r="D70" s="83"/>
      <c r="F70" s="89"/>
    </row>
    <row r="71" spans="1:29" ht="15" customHeight="1" x14ac:dyDescent="0.2">
      <c r="A71" s="77" t="s">
        <v>97</v>
      </c>
      <c r="B71" s="77"/>
      <c r="C71" s="77"/>
      <c r="D71" s="147">
        <f>+D66*100/D61</f>
        <v>54.014473223553253</v>
      </c>
      <c r="E71" s="77" t="s">
        <v>67</v>
      </c>
    </row>
    <row r="72" spans="1:29" s="77" customFormat="1" ht="9.9499999999999993" customHeight="1" x14ac:dyDescent="0.2">
      <c r="B72" s="81"/>
      <c r="C72" s="81"/>
      <c r="D72" s="81"/>
      <c r="E72" s="81"/>
      <c r="F72" s="81"/>
      <c r="G72" s="81"/>
    </row>
    <row r="73" spans="1:29" ht="15" customHeight="1" x14ac:dyDescent="0.2">
      <c r="A73" s="279" t="s">
        <v>273</v>
      </c>
      <c r="B73" s="270"/>
      <c r="C73" s="270"/>
      <c r="D73" s="270"/>
      <c r="E73" s="270"/>
      <c r="F73" s="270"/>
      <c r="G73" s="270"/>
      <c r="H73" s="270"/>
      <c r="P73" s="130"/>
      <c r="V73" s="132"/>
      <c r="W73" s="132"/>
      <c r="X73" s="132"/>
      <c r="Y73" s="132"/>
      <c r="Z73" s="132"/>
      <c r="AA73" s="132"/>
      <c r="AB73" s="132"/>
      <c r="AC73" s="132"/>
    </row>
    <row r="74" spans="1:29" ht="9.9499999999999993" customHeight="1" x14ac:dyDescent="0.2">
      <c r="A74" s="77"/>
      <c r="P74" s="130"/>
      <c r="V74" s="132"/>
      <c r="W74" s="132"/>
      <c r="X74" s="132"/>
      <c r="Y74" s="132"/>
      <c r="Z74" s="132"/>
      <c r="AA74" s="132"/>
      <c r="AB74" s="132"/>
      <c r="AC74" s="132"/>
    </row>
    <row r="75" spans="1:29" ht="15" customHeight="1" x14ac:dyDescent="0.2">
      <c r="C75" s="136" t="s">
        <v>85</v>
      </c>
      <c r="D75" s="137">
        <v>2</v>
      </c>
    </row>
    <row r="76" spans="1:29" ht="15" customHeight="1" x14ac:dyDescent="0.2">
      <c r="A76" s="138" t="s">
        <v>81</v>
      </c>
      <c r="D76" s="109">
        <v>1</v>
      </c>
    </row>
    <row r="77" spans="1:29" ht="15" customHeight="1" x14ac:dyDescent="0.2">
      <c r="A77" s="138" t="s">
        <v>83</v>
      </c>
      <c r="D77" s="109">
        <v>2</v>
      </c>
    </row>
    <row r="78" spans="1:29" ht="15" customHeight="1" x14ac:dyDescent="0.2">
      <c r="A78" s="138" t="s">
        <v>84</v>
      </c>
      <c r="D78" s="109">
        <v>3</v>
      </c>
    </row>
    <row r="79" spans="1:29" ht="15" customHeight="1" x14ac:dyDescent="0.2">
      <c r="A79" s="75" t="s">
        <v>133</v>
      </c>
      <c r="D79" s="83"/>
      <c r="E79" s="84"/>
      <c r="F79" s="86">
        <f>IF(H79=87.5,LOOKUP(D75,'Viscosidad, Numero Hazen'!B40:B42,'Viscosidad, Numero Hazen'!C40:C42),LOOKUP(D75,'Viscosidad, Numero Hazen'!B40:B42,'Viscosidad, Numero Hazen'!D40:D42))</f>
        <v>2.75</v>
      </c>
      <c r="G79" s="84" t="s">
        <v>80</v>
      </c>
      <c r="H79" s="148">
        <f>+D42</f>
        <v>87.5</v>
      </c>
    </row>
    <row r="80" spans="1:29" ht="9.9499999999999993" customHeight="1" x14ac:dyDescent="0.2">
      <c r="D80" s="83"/>
      <c r="E80" s="84"/>
      <c r="F80" s="86"/>
      <c r="G80" s="84"/>
      <c r="H80" s="86"/>
    </row>
    <row r="81" spans="1:29" ht="15" customHeight="1" x14ac:dyDescent="0.2">
      <c r="A81" s="139" t="s">
        <v>79</v>
      </c>
      <c r="B81" s="140"/>
      <c r="C81" s="140"/>
      <c r="D81" s="266">
        <f>+F79*D71/60</f>
        <v>2.475663356079524</v>
      </c>
      <c r="E81" s="175" t="s">
        <v>118</v>
      </c>
      <c r="F81" s="339" t="str">
        <f>+IF(D81&gt;=20,"OK, cumple Resolución 1096, artículo 109 del RAS/2.000","No cumple Resolución 1096, artículo 109 del RAS/2.000 (a &gt; 20 min)")</f>
        <v>No cumple Resolución 1096, artículo 109 del RAS/2.000 (a &gt; 20 min)</v>
      </c>
      <c r="G81" s="339"/>
      <c r="H81" s="339"/>
    </row>
    <row r="82" spans="1:29" ht="15" customHeight="1" x14ac:dyDescent="0.2">
      <c r="D82" s="109"/>
      <c r="F82" s="339"/>
      <c r="G82" s="339"/>
      <c r="H82" s="339"/>
    </row>
    <row r="83" spans="1:29" s="77" customFormat="1" ht="9.9499999999999993" customHeight="1" x14ac:dyDescent="0.2">
      <c r="B83" s="81"/>
      <c r="C83" s="81"/>
      <c r="D83" s="81"/>
      <c r="E83" s="81"/>
      <c r="F83" s="81"/>
      <c r="G83" s="81"/>
    </row>
    <row r="84" spans="1:29" ht="15" customHeight="1" x14ac:dyDescent="0.2">
      <c r="A84" s="279" t="s">
        <v>276</v>
      </c>
      <c r="B84" s="270"/>
      <c r="C84" s="270"/>
      <c r="D84" s="270"/>
      <c r="E84" s="270"/>
      <c r="F84" s="270"/>
      <c r="G84" s="270"/>
      <c r="H84" s="270"/>
      <c r="P84" s="130"/>
      <c r="V84" s="132"/>
      <c r="W84" s="132"/>
      <c r="X84" s="132"/>
      <c r="Y84" s="132"/>
      <c r="Z84" s="132"/>
      <c r="AA84" s="132"/>
      <c r="AB84" s="132"/>
      <c r="AC84" s="132"/>
    </row>
    <row r="85" spans="1:29" ht="9.9499999999999993" customHeight="1" x14ac:dyDescent="0.2">
      <c r="A85" s="77"/>
      <c r="P85" s="130"/>
      <c r="V85" s="132"/>
      <c r="W85" s="132"/>
      <c r="X85" s="132"/>
      <c r="Y85" s="132"/>
      <c r="Z85" s="132"/>
      <c r="AA85" s="132"/>
      <c r="AB85" s="132"/>
      <c r="AC85" s="132"/>
    </row>
    <row r="86" spans="1:29" ht="15" customHeight="1" x14ac:dyDescent="0.2">
      <c r="C86" s="142" t="s">
        <v>123</v>
      </c>
      <c r="E86" s="136" t="s">
        <v>274</v>
      </c>
      <c r="F86" s="114">
        <f>ROUND((1000*D69/D81/60),1)</f>
        <v>7.3</v>
      </c>
      <c r="G86" s="77" t="s">
        <v>129</v>
      </c>
    </row>
    <row r="87" spans="1:29" ht="9.9499999999999993" customHeight="1" x14ac:dyDescent="0.2">
      <c r="D87" s="89"/>
    </row>
    <row r="88" spans="1:29" ht="30" customHeight="1" x14ac:dyDescent="0.2">
      <c r="A88" s="335"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7,3L/s.</v>
      </c>
      <c r="B88" s="335"/>
      <c r="C88" s="335"/>
      <c r="D88" s="335"/>
      <c r="E88" s="335"/>
      <c r="F88" s="335"/>
      <c r="G88" s="335"/>
      <c r="H88" s="335"/>
    </row>
    <row r="89" spans="1:29" s="77" customFormat="1" ht="9.9499999999999993" customHeight="1" x14ac:dyDescent="0.2">
      <c r="B89" s="81"/>
      <c r="C89" s="81"/>
      <c r="D89" s="81"/>
      <c r="E89" s="81"/>
      <c r="F89" s="81"/>
      <c r="G89" s="81"/>
    </row>
    <row r="90" spans="1:29" ht="15" customHeight="1" x14ac:dyDescent="0.2">
      <c r="A90" s="279" t="s">
        <v>277</v>
      </c>
      <c r="B90" s="270"/>
      <c r="C90" s="270"/>
      <c r="D90" s="270"/>
      <c r="E90" s="270"/>
      <c r="F90" s="270"/>
      <c r="G90" s="270"/>
      <c r="H90" s="270"/>
      <c r="P90" s="130"/>
      <c r="V90" s="132"/>
      <c r="W90" s="132"/>
      <c r="X90" s="132"/>
      <c r="Y90" s="132"/>
      <c r="Z90" s="132"/>
      <c r="AA90" s="132"/>
      <c r="AB90" s="132"/>
      <c r="AC90" s="132"/>
    </row>
    <row r="91" spans="1:29" ht="9.9499999999999993" customHeight="1" x14ac:dyDescent="0.2">
      <c r="A91" s="77"/>
      <c r="P91" s="130"/>
      <c r="V91" s="132"/>
      <c r="W91" s="132"/>
      <c r="X91" s="132"/>
      <c r="Y91" s="132"/>
      <c r="Z91" s="132"/>
      <c r="AA91" s="132"/>
      <c r="AB91" s="132"/>
      <c r="AC91" s="132"/>
    </row>
    <row r="92" spans="1:29" ht="15" customHeight="1" x14ac:dyDescent="0.2">
      <c r="C92" s="336" t="s">
        <v>262</v>
      </c>
      <c r="D92" s="336"/>
      <c r="E92" s="336"/>
    </row>
    <row r="93" spans="1:29" ht="9.9499999999999993" customHeight="1" x14ac:dyDescent="0.2">
      <c r="A93" s="77"/>
      <c r="P93" s="130"/>
      <c r="V93" s="132"/>
      <c r="W93" s="132"/>
      <c r="X93" s="132"/>
      <c r="Y93" s="132"/>
      <c r="Z93" s="132"/>
      <c r="AA93" s="132"/>
      <c r="AB93" s="132"/>
      <c r="AC93" s="132"/>
    </row>
    <row r="94" spans="1:29" ht="15" customHeight="1" x14ac:dyDescent="0.2">
      <c r="A94" s="84" t="s">
        <v>88</v>
      </c>
      <c r="C94" s="136" t="s">
        <v>263</v>
      </c>
      <c r="D94" s="154">
        <f>+D95/(1000*D96*D97)</f>
        <v>6.083333333333333E-3</v>
      </c>
      <c r="E94" s="77" t="s">
        <v>122</v>
      </c>
      <c r="F94" s="77" t="str">
        <f>+IF(D94&lt;0.25,"Ok, cumple","No cumple")</f>
        <v>Ok, cumple</v>
      </c>
    </row>
    <row r="95" spans="1:29" ht="15" customHeight="1" x14ac:dyDescent="0.2">
      <c r="C95" s="84" t="s">
        <v>119</v>
      </c>
      <c r="D95" s="150">
        <f>+F86</f>
        <v>7.3</v>
      </c>
      <c r="E95" s="75" t="s">
        <v>129</v>
      </c>
      <c r="F95" s="75" t="s">
        <v>264</v>
      </c>
      <c r="G95" s="86" t="s">
        <v>191</v>
      </c>
    </row>
    <row r="96" spans="1:29" ht="15" customHeight="1" x14ac:dyDescent="0.2">
      <c r="C96" s="84" t="s">
        <v>120</v>
      </c>
      <c r="D96" s="88">
        <f>+D68</f>
        <v>0.8</v>
      </c>
      <c r="E96" s="75" t="s">
        <v>54</v>
      </c>
    </row>
    <row r="97" spans="1:29" ht="15" customHeight="1" x14ac:dyDescent="0.2">
      <c r="C97" s="84" t="s">
        <v>121</v>
      </c>
      <c r="D97" s="88">
        <f>+D66</f>
        <v>1.5</v>
      </c>
      <c r="E97" s="75" t="s">
        <v>54</v>
      </c>
    </row>
    <row r="98" spans="1:29" ht="9.9499999999999993" customHeight="1" x14ac:dyDescent="0.2">
      <c r="D98" s="109"/>
    </row>
    <row r="99" spans="1:29" ht="15" customHeight="1" x14ac:dyDescent="0.2">
      <c r="A99" s="77" t="s">
        <v>265</v>
      </c>
      <c r="C99" s="84"/>
      <c r="D99" s="141" t="s">
        <v>266</v>
      </c>
      <c r="E99" s="88">
        <f>+ROUND((D94/(D61/100)),1)</f>
        <v>0.2</v>
      </c>
      <c r="F99" s="77" t="str">
        <f>+IF(E99&lt;20,"Cumple","No cumple")</f>
        <v>Cumple</v>
      </c>
    </row>
    <row r="100" spans="1:29" ht="15" customHeight="1" x14ac:dyDescent="0.2">
      <c r="D100" s="109"/>
      <c r="F100" s="75" t="s">
        <v>267</v>
      </c>
      <c r="G100" s="75" t="s">
        <v>192</v>
      </c>
    </row>
    <row r="101" spans="1:29" ht="9.9499999999999993" customHeight="1" x14ac:dyDescent="0.2">
      <c r="D101" s="89"/>
    </row>
    <row r="102" spans="1:29" ht="54.95" customHeight="1" x14ac:dyDescent="0.2">
      <c r="A102" s="335"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0,006m/s, es inferior a la máxima recomendada (VH &lt; 0,25m/s). De otro lado, la relación entre velocidades (Rv), tiene un valor de 0,2, cumpliendo con lo especificado en el RAS/2000 (RV &lt; 20).</v>
      </c>
      <c r="B102" s="335"/>
      <c r="C102" s="335"/>
      <c r="D102" s="335"/>
      <c r="E102" s="335"/>
      <c r="F102" s="335"/>
      <c r="G102" s="335"/>
      <c r="H102" s="335"/>
    </row>
    <row r="103" spans="1:29" s="77" customFormat="1" ht="9.9499999999999993" customHeight="1" x14ac:dyDescent="0.2">
      <c r="B103" s="81"/>
      <c r="C103" s="81"/>
      <c r="D103" s="81"/>
      <c r="E103" s="81"/>
      <c r="F103" s="81"/>
      <c r="G103" s="81"/>
    </row>
    <row r="104" spans="1:29" ht="15" customHeight="1" x14ac:dyDescent="0.2">
      <c r="A104" s="279" t="s">
        <v>278</v>
      </c>
      <c r="B104" s="270"/>
      <c r="C104" s="270"/>
      <c r="D104" s="270"/>
      <c r="E104" s="270"/>
      <c r="F104" s="270"/>
      <c r="G104" s="270"/>
      <c r="H104" s="270"/>
      <c r="P104" s="130"/>
      <c r="V104" s="132"/>
      <c r="W104" s="132"/>
      <c r="X104" s="132"/>
      <c r="Y104" s="132"/>
      <c r="Z104" s="132"/>
      <c r="AA104" s="132"/>
      <c r="AB104" s="132"/>
      <c r="AC104" s="132"/>
    </row>
    <row r="105" spans="1:29" ht="9.9499999999999993" customHeight="1" x14ac:dyDescent="0.2">
      <c r="A105" s="77"/>
      <c r="P105" s="130"/>
      <c r="V105" s="132"/>
      <c r="W105" s="132"/>
      <c r="X105" s="132"/>
      <c r="Y105" s="132"/>
      <c r="Z105" s="132"/>
      <c r="AA105" s="132"/>
      <c r="AB105" s="132"/>
      <c r="AC105" s="132"/>
    </row>
    <row r="106" spans="1:29" s="77" customFormat="1" ht="15" customHeight="1" x14ac:dyDescent="0.2">
      <c r="B106" s="81"/>
      <c r="C106" s="336" t="s">
        <v>286</v>
      </c>
      <c r="D106" s="336"/>
      <c r="E106" s="336"/>
      <c r="F106" s="75"/>
      <c r="G106" s="81"/>
    </row>
    <row r="107" spans="1:29" ht="9.9499999999999993" customHeight="1" x14ac:dyDescent="0.2">
      <c r="A107" s="77"/>
      <c r="P107" s="130"/>
      <c r="V107" s="132"/>
      <c r="W107" s="132"/>
      <c r="X107" s="132"/>
      <c r="Y107" s="132"/>
      <c r="Z107" s="132"/>
      <c r="AA107" s="132"/>
      <c r="AB107" s="132"/>
      <c r="AC107" s="132"/>
    </row>
    <row r="108" spans="1:29" ht="15" customHeight="1" x14ac:dyDescent="0.2">
      <c r="A108" s="84" t="s">
        <v>88</v>
      </c>
      <c r="C108" s="136" t="s">
        <v>279</v>
      </c>
      <c r="D108" s="155">
        <f>ROUND((125*((D110-1)*D111)^0.5),1)</f>
        <v>22.7</v>
      </c>
      <c r="E108" s="77" t="s">
        <v>134</v>
      </c>
    </row>
    <row r="109" spans="1:29" ht="15" customHeight="1" x14ac:dyDescent="0.2">
      <c r="A109" s="99"/>
      <c r="C109" s="136" t="s">
        <v>279</v>
      </c>
      <c r="D109" s="98">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5">
        <f>+D41</f>
        <v>0.02</v>
      </c>
      <c r="E111" s="75" t="s">
        <v>64</v>
      </c>
      <c r="F111" s="77"/>
    </row>
    <row r="112" spans="1:29" ht="9.9499999999999993" customHeight="1" x14ac:dyDescent="0.2">
      <c r="C112" s="84"/>
      <c r="D112" s="149"/>
      <c r="F112" s="77"/>
    </row>
    <row r="113" spans="1:29" ht="30" customHeight="1" x14ac:dyDescent="0.2">
      <c r="A113" s="335"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35"/>
      <c r="C113" s="335"/>
      <c r="D113" s="335"/>
      <c r="E113" s="335"/>
      <c r="F113" s="335"/>
      <c r="G113" s="335"/>
      <c r="H113" s="335"/>
    </row>
    <row r="114" spans="1:29" s="77" customFormat="1" ht="9.9499999999999993" customHeight="1" x14ac:dyDescent="0.2">
      <c r="B114" s="81"/>
      <c r="C114" s="81"/>
      <c r="D114" s="81"/>
      <c r="E114" s="81"/>
      <c r="F114" s="81"/>
      <c r="G114" s="81"/>
    </row>
    <row r="115" spans="1:29" ht="15" customHeight="1" x14ac:dyDescent="0.2">
      <c r="A115" s="279" t="s">
        <v>280</v>
      </c>
      <c r="B115" s="270"/>
      <c r="C115" s="270"/>
      <c r="D115" s="270"/>
      <c r="E115" s="270"/>
      <c r="F115" s="270"/>
      <c r="G115" s="270"/>
      <c r="H115" s="270"/>
      <c r="P115" s="130"/>
      <c r="V115" s="132"/>
      <c r="W115" s="132"/>
      <c r="X115" s="132"/>
      <c r="Y115" s="132"/>
      <c r="Z115" s="132"/>
      <c r="AA115" s="132"/>
      <c r="AB115" s="132"/>
      <c r="AC115" s="132"/>
    </row>
    <row r="116" spans="1:29" ht="9.9499999999999993" customHeight="1" x14ac:dyDescent="0.2">
      <c r="A116" s="77"/>
      <c r="P116" s="130"/>
      <c r="V116" s="132"/>
      <c r="W116" s="132"/>
      <c r="X116" s="132"/>
      <c r="Y116" s="132"/>
      <c r="Z116" s="132"/>
      <c r="AA116" s="132"/>
      <c r="AB116" s="132"/>
      <c r="AC116" s="132"/>
    </row>
    <row r="117" spans="1:29" s="77" customFormat="1" ht="15" customHeight="1" x14ac:dyDescent="0.2">
      <c r="B117" s="81"/>
      <c r="C117" s="336" t="s">
        <v>285</v>
      </c>
      <c r="D117" s="336"/>
      <c r="E117" s="336"/>
      <c r="F117" s="91"/>
      <c r="G117" s="81"/>
    </row>
    <row r="118" spans="1:29" ht="9.9499999999999993" customHeight="1" x14ac:dyDescent="0.2">
      <c r="A118" s="77"/>
      <c r="P118" s="130"/>
      <c r="V118" s="132"/>
      <c r="W118" s="132"/>
      <c r="X118" s="132"/>
      <c r="Y118" s="132"/>
      <c r="Z118" s="132"/>
      <c r="AA118" s="132"/>
      <c r="AB118" s="132"/>
      <c r="AC118" s="132"/>
    </row>
    <row r="119" spans="1:29" ht="15" customHeight="1" x14ac:dyDescent="0.2">
      <c r="C119" s="84" t="s">
        <v>107</v>
      </c>
      <c r="D119" s="84" t="s">
        <v>106</v>
      </c>
      <c r="E119" s="75" t="s">
        <v>111</v>
      </c>
    </row>
    <row r="120" spans="1:29" ht="15" customHeight="1" x14ac:dyDescent="0.2">
      <c r="D120" s="84" t="s">
        <v>108</v>
      </c>
      <c r="E120" s="75" t="s">
        <v>113</v>
      </c>
    </row>
    <row r="121" spans="1:29" ht="15" customHeight="1" x14ac:dyDescent="0.2">
      <c r="D121" s="84" t="s">
        <v>109</v>
      </c>
      <c r="E121" s="75" t="s">
        <v>112</v>
      </c>
    </row>
    <row r="122" spans="1:29" ht="15" customHeight="1" x14ac:dyDescent="0.2">
      <c r="D122" s="84" t="s">
        <v>110</v>
      </c>
      <c r="E122" s="75" t="s">
        <v>268</v>
      </c>
    </row>
    <row r="123" spans="1:29" ht="9.9499999999999993" customHeight="1" x14ac:dyDescent="0.2"/>
    <row r="124" spans="1:29" ht="15" customHeight="1" x14ac:dyDescent="0.2">
      <c r="C124" s="143" t="s">
        <v>106</v>
      </c>
      <c r="D124" s="153">
        <f>+ROUND((D41*D61/D40),2)</f>
        <v>4.8499999999999996</v>
      </c>
      <c r="E124" s="101" t="str">
        <f>+IF(D124&lt; 4,"Ok, cumple Flujo en Transición; Re &lt; 4","No Cumple Flujo en Transición; Re &lt; 4")</f>
        <v>No Cumple Flujo en Transición; Re &lt; 4</v>
      </c>
    </row>
    <row r="125" spans="1:29" ht="9.9499999999999993" customHeight="1" x14ac:dyDescent="0.2">
      <c r="C125" s="143"/>
      <c r="D125" s="144"/>
      <c r="E125" s="101"/>
    </row>
    <row r="126" spans="1:29" ht="45" customHeight="1" x14ac:dyDescent="0.2">
      <c r="A126" s="335"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4,85, el cual NO cumple con las recomendaciones para dicho parámetro de evaluación (Re &lt; 0,50).</v>
      </c>
      <c r="B126" s="335"/>
      <c r="C126" s="335"/>
      <c r="D126" s="335"/>
      <c r="E126" s="335"/>
      <c r="F126" s="335"/>
      <c r="G126" s="335"/>
      <c r="H126" s="335"/>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9" s="77" customFormat="1" ht="9.9499999999999993" customHeight="1" x14ac:dyDescent="0.2">
      <c r="B127" s="171"/>
      <c r="C127" s="171"/>
      <c r="D127" s="171"/>
      <c r="E127" s="171"/>
      <c r="F127" s="171"/>
      <c r="G127" s="171"/>
    </row>
    <row r="128" spans="1:29" ht="15" customHeight="1" x14ac:dyDescent="0.2">
      <c r="A128" s="279" t="s">
        <v>288</v>
      </c>
      <c r="B128" s="279"/>
      <c r="C128" s="279"/>
      <c r="D128" s="279"/>
      <c r="E128" s="279"/>
      <c r="F128" s="279"/>
      <c r="G128" s="279"/>
      <c r="H128" s="279"/>
      <c r="P128" s="130"/>
      <c r="V128" s="132"/>
      <c r="W128" s="132"/>
      <c r="X128" s="132"/>
      <c r="Y128" s="132"/>
      <c r="Z128" s="132"/>
      <c r="AA128" s="132"/>
      <c r="AB128" s="132"/>
      <c r="AC128" s="132"/>
    </row>
    <row r="129" spans="1:29" s="77" customFormat="1" ht="9" customHeight="1" x14ac:dyDescent="0.2">
      <c r="B129" s="171"/>
      <c r="C129" s="171"/>
      <c r="D129" s="171"/>
      <c r="E129" s="171"/>
      <c r="F129" s="171"/>
      <c r="G129" s="171"/>
    </row>
    <row r="130" spans="1:29" s="77" customFormat="1" ht="30" customHeight="1" x14ac:dyDescent="0.2">
      <c r="A130" s="270" t="s">
        <v>281</v>
      </c>
      <c r="B130" s="270"/>
      <c r="C130" s="270"/>
      <c r="D130" s="270"/>
      <c r="E130" s="270"/>
      <c r="F130" s="270"/>
      <c r="G130" s="270"/>
      <c r="H130" s="270"/>
    </row>
    <row r="131" spans="1:29" s="77" customFormat="1" ht="9.9499999999999993" customHeight="1" x14ac:dyDescent="0.2">
      <c r="A131" s="86"/>
      <c r="B131" s="171"/>
      <c r="C131" s="171"/>
      <c r="D131" s="171"/>
      <c r="E131" s="171"/>
      <c r="F131" s="171"/>
      <c r="G131" s="171"/>
    </row>
    <row r="132" spans="1:29" s="77" customFormat="1" ht="15" customHeight="1" x14ac:dyDescent="0.2">
      <c r="B132" s="171"/>
      <c r="C132" s="276" t="s">
        <v>213</v>
      </c>
      <c r="D132" s="276"/>
      <c r="E132" s="276"/>
      <c r="F132" s="171"/>
      <c r="G132" s="171"/>
    </row>
    <row r="133" spans="1:29" s="77" customFormat="1" ht="9.9499999999999993" customHeight="1" x14ac:dyDescent="0.2">
      <c r="A133" s="270"/>
      <c r="B133" s="270"/>
      <c r="C133" s="270"/>
      <c r="D133" s="270"/>
      <c r="E133" s="270"/>
      <c r="F133" s="270"/>
      <c r="G133" s="270"/>
    </row>
    <row r="134" spans="1:29" s="77" customFormat="1" ht="15" customHeight="1" x14ac:dyDescent="0.2">
      <c r="A134" s="75" t="s">
        <v>88</v>
      </c>
      <c r="B134" s="81"/>
      <c r="C134" s="81"/>
      <c r="D134" s="81"/>
      <c r="E134" s="81"/>
      <c r="F134" s="81"/>
      <c r="G134" s="81"/>
    </row>
    <row r="135" spans="1:29" s="77" customFormat="1" ht="15" customHeight="1" x14ac:dyDescent="0.2">
      <c r="A135" s="75" t="s">
        <v>202</v>
      </c>
      <c r="B135" s="81"/>
      <c r="C135" s="81"/>
      <c r="D135" s="150">
        <f>+F86</f>
        <v>7.3</v>
      </c>
      <c r="E135" s="86" t="s">
        <v>129</v>
      </c>
      <c r="F135" s="86"/>
      <c r="G135" s="86"/>
    </row>
    <row r="136" spans="1:29" s="77" customFormat="1" ht="15" customHeight="1" x14ac:dyDescent="0.2">
      <c r="A136" s="75" t="s">
        <v>202</v>
      </c>
      <c r="B136" s="81"/>
      <c r="C136" s="81"/>
      <c r="D136" s="151">
        <f>+D135/1000</f>
        <v>7.3000000000000001E-3</v>
      </c>
      <c r="E136" s="86" t="s">
        <v>203</v>
      </c>
      <c r="F136" s="86"/>
      <c r="G136" s="86"/>
    </row>
    <row r="137" spans="1:29" s="77" customFormat="1" ht="15" customHeight="1" x14ac:dyDescent="0.2">
      <c r="A137" s="75" t="s">
        <v>57</v>
      </c>
      <c r="B137" s="81"/>
      <c r="C137" s="81"/>
      <c r="D137" s="96">
        <f>+D68</f>
        <v>0.8</v>
      </c>
      <c r="E137" s="86" t="s">
        <v>54</v>
      </c>
      <c r="F137" s="86"/>
      <c r="G137" s="86"/>
    </row>
    <row r="138" spans="1:29" s="77" customFormat="1" ht="15" customHeight="1" x14ac:dyDescent="0.2">
      <c r="A138" s="75" t="s">
        <v>289</v>
      </c>
      <c r="B138" s="81"/>
      <c r="C138" s="81"/>
      <c r="D138" s="153">
        <f>+ROUND(((D136/(1.84*D137))^(2/3)),2)</f>
        <v>0.03</v>
      </c>
      <c r="E138" s="94" t="s">
        <v>54</v>
      </c>
      <c r="F138" s="86"/>
      <c r="G138" s="86"/>
    </row>
    <row r="139" spans="1:29" s="77" customFormat="1" ht="9.9499999999999993" customHeight="1" x14ac:dyDescent="0.2">
      <c r="A139" s="75"/>
      <c r="B139" s="81"/>
      <c r="C139" s="81"/>
      <c r="D139" s="97"/>
      <c r="E139" s="94"/>
      <c r="F139" s="86"/>
      <c r="G139" s="86"/>
    </row>
    <row r="140" spans="1:29" s="77" customFormat="1" ht="30" customHeight="1" x14ac:dyDescent="0.2">
      <c r="A140" s="270"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7,3L/s de capacidad de tratamiento, se requiere una lámina de agua equivalente a 0,03m.</v>
      </c>
      <c r="B140" s="270"/>
      <c r="C140" s="270"/>
      <c r="D140" s="270"/>
      <c r="E140" s="270"/>
      <c r="F140" s="270"/>
      <c r="G140" s="270"/>
      <c r="H140" s="270"/>
    </row>
    <row r="141" spans="1:29" s="77" customFormat="1" ht="8.1" customHeight="1" x14ac:dyDescent="0.2">
      <c r="B141" s="81"/>
      <c r="C141" s="81"/>
      <c r="D141" s="81"/>
      <c r="E141" s="81"/>
      <c r="F141" s="81"/>
      <c r="G141" s="81"/>
    </row>
    <row r="142" spans="1:29" ht="15" customHeight="1" x14ac:dyDescent="0.2">
      <c r="A142" s="279" t="s">
        <v>305</v>
      </c>
      <c r="B142" s="279"/>
      <c r="C142" s="279"/>
      <c r="D142" s="279"/>
      <c r="E142" s="279"/>
      <c r="F142" s="279"/>
      <c r="G142" s="279"/>
      <c r="H142" s="279"/>
      <c r="P142" s="130"/>
      <c r="V142" s="132"/>
      <c r="W142" s="132"/>
      <c r="X142" s="132"/>
      <c r="Y142" s="132"/>
      <c r="Z142" s="132"/>
      <c r="AA142" s="132"/>
      <c r="AB142" s="132"/>
      <c r="AC142" s="132"/>
    </row>
    <row r="143" spans="1:29" s="77" customFormat="1" ht="8.1" customHeight="1" x14ac:dyDescent="0.2">
      <c r="B143" s="81"/>
      <c r="C143" s="81"/>
      <c r="D143" s="81"/>
      <c r="E143" s="81"/>
      <c r="F143" s="81"/>
      <c r="G143" s="81"/>
    </row>
    <row r="144" spans="1:29" s="77" customFormat="1" ht="30" customHeight="1" x14ac:dyDescent="0.2">
      <c r="A144" s="270" t="s">
        <v>306</v>
      </c>
      <c r="B144" s="270"/>
      <c r="C144" s="270"/>
      <c r="D144" s="270"/>
      <c r="E144" s="270"/>
      <c r="F144" s="270"/>
      <c r="G144" s="270"/>
      <c r="H144" s="270"/>
    </row>
    <row r="145" spans="1:29" s="77" customFormat="1" ht="8.1" customHeight="1" x14ac:dyDescent="0.2">
      <c r="B145" s="81"/>
      <c r="C145" s="81"/>
      <c r="D145" s="81"/>
      <c r="E145" s="81"/>
      <c r="F145" s="81"/>
      <c r="G145" s="81"/>
    </row>
    <row r="146" spans="1:29" s="77" customFormat="1" ht="15" customHeight="1" x14ac:dyDescent="0.2">
      <c r="A146" s="276" t="s">
        <v>307</v>
      </c>
      <c r="B146" s="276"/>
      <c r="C146" s="276"/>
      <c r="D146" s="276"/>
      <c r="E146" s="276"/>
      <c r="F146" s="276"/>
      <c r="G146" s="276"/>
      <c r="H146" s="276"/>
    </row>
    <row r="147" spans="1:29" s="77" customFormat="1" ht="8.1" customHeight="1" x14ac:dyDescent="0.2">
      <c r="B147" s="81"/>
      <c r="C147" s="81"/>
      <c r="D147" s="81"/>
      <c r="E147" s="81"/>
      <c r="F147" s="81"/>
      <c r="G147" s="81"/>
    </row>
    <row r="148" spans="1:29" s="90" customFormat="1" ht="15" customHeight="1" x14ac:dyDescent="0.2">
      <c r="A148" s="106" t="s">
        <v>308</v>
      </c>
      <c r="D148" s="161">
        <v>0.75</v>
      </c>
      <c r="E148" s="90" t="s">
        <v>292</v>
      </c>
    </row>
    <row r="149" spans="1:29" s="90" customFormat="1" ht="15" customHeight="1" x14ac:dyDescent="0.2">
      <c r="A149" s="106" t="s">
        <v>308</v>
      </c>
      <c r="D149" s="105">
        <f>+D148*0.0254</f>
        <v>1.9049999999999997E-2</v>
      </c>
      <c r="E149" s="90" t="s">
        <v>54</v>
      </c>
    </row>
    <row r="150" spans="1:29" s="90" customFormat="1" ht="15" customHeight="1" x14ac:dyDescent="0.2">
      <c r="A150" s="106" t="s">
        <v>309</v>
      </c>
      <c r="D150" s="174">
        <f>+ROUND((PI()*(D149^2)/4),5)</f>
        <v>2.9E-4</v>
      </c>
      <c r="E150" s="90" t="s">
        <v>206</v>
      </c>
    </row>
    <row r="151" spans="1:29" s="90" customFormat="1" ht="15" customHeight="1" x14ac:dyDescent="0.2">
      <c r="A151" s="106" t="s">
        <v>301</v>
      </c>
      <c r="D151" s="158">
        <v>15</v>
      </c>
    </row>
    <row r="152" spans="1:29" s="90" customFormat="1" ht="15" customHeight="1" x14ac:dyDescent="0.2">
      <c r="A152" s="106" t="s">
        <v>310</v>
      </c>
      <c r="D152" s="157">
        <f>+F86</f>
        <v>7.3</v>
      </c>
      <c r="E152" s="90" t="s">
        <v>129</v>
      </c>
    </row>
    <row r="153" spans="1:29" s="90" customFormat="1" ht="15" customHeight="1" x14ac:dyDescent="0.2">
      <c r="A153" s="106" t="s">
        <v>311</v>
      </c>
      <c r="D153" s="157">
        <f>+D152/D151</f>
        <v>0.48666666666666664</v>
      </c>
      <c r="E153" s="90" t="s">
        <v>129</v>
      </c>
    </row>
    <row r="154" spans="1:29" s="90" customFormat="1" ht="15" customHeight="1" x14ac:dyDescent="0.2">
      <c r="A154" s="106" t="s">
        <v>312</v>
      </c>
      <c r="D154" s="160">
        <f>ROUND(((D153/1000)/D150),2)</f>
        <v>1.68</v>
      </c>
      <c r="E154" s="101" t="s">
        <v>122</v>
      </c>
    </row>
    <row r="155" spans="1:29" s="90" customFormat="1" ht="15" customHeight="1" x14ac:dyDescent="0.2">
      <c r="A155" s="106" t="s">
        <v>296</v>
      </c>
      <c r="D155" s="105">
        <v>9.81</v>
      </c>
      <c r="E155" s="90" t="s">
        <v>200</v>
      </c>
    </row>
    <row r="156" spans="1:29" s="77" customFormat="1" ht="8.1" customHeight="1" x14ac:dyDescent="0.2">
      <c r="A156" s="75"/>
      <c r="B156" s="81"/>
      <c r="C156" s="81"/>
      <c r="D156" s="97"/>
      <c r="E156" s="94"/>
      <c r="F156" s="86"/>
      <c r="G156" s="86"/>
    </row>
    <row r="157" spans="1:29" s="77" customFormat="1" ht="15" customHeight="1" x14ac:dyDescent="0.2">
      <c r="A157" s="270" t="str">
        <f>+CONCATENATE("Según lo anterior, por los ",D151," orificios de Ø",D148,"pulgadas, se presenta una velocidad de paso de ",D154,"m/s.")</f>
        <v>Según lo anterior, por los 15 orificios de Ø0,75pulgadas, se presenta una velocidad de paso de 1,68m/s.</v>
      </c>
      <c r="B157" s="270"/>
      <c r="C157" s="270"/>
      <c r="D157" s="270"/>
      <c r="E157" s="270"/>
      <c r="F157" s="270"/>
      <c r="G157" s="270"/>
      <c r="H157" s="270"/>
    </row>
    <row r="158" spans="1:29" s="77" customFormat="1" ht="8.1" customHeight="1" x14ac:dyDescent="0.2">
      <c r="B158" s="81"/>
      <c r="C158" s="81"/>
      <c r="D158" s="81"/>
      <c r="E158" s="81"/>
      <c r="F158" s="81"/>
      <c r="G158" s="81"/>
    </row>
    <row r="159" spans="1:29" ht="15" customHeight="1" x14ac:dyDescent="0.2">
      <c r="A159" s="279" t="s">
        <v>304</v>
      </c>
      <c r="B159" s="279"/>
      <c r="C159" s="279"/>
      <c r="D159" s="279"/>
      <c r="E159" s="279"/>
      <c r="F159" s="279"/>
      <c r="G159" s="279"/>
      <c r="H159" s="279"/>
      <c r="P159" s="130"/>
      <c r="V159" s="132"/>
      <c r="W159" s="132"/>
      <c r="X159" s="132"/>
      <c r="Y159" s="132"/>
      <c r="Z159" s="132"/>
      <c r="AA159" s="132"/>
      <c r="AB159" s="132"/>
      <c r="AC159" s="132"/>
    </row>
    <row r="160" spans="1:29" s="77" customFormat="1" ht="8.1" customHeight="1" x14ac:dyDescent="0.2">
      <c r="B160" s="81"/>
      <c r="C160" s="81"/>
      <c r="D160" s="81"/>
      <c r="E160" s="81"/>
      <c r="F160" s="81"/>
      <c r="G160" s="81"/>
    </row>
    <row r="161" spans="1:8" s="77" customFormat="1" ht="75" customHeight="1" x14ac:dyDescent="0.2">
      <c r="A161" s="270" t="s">
        <v>300</v>
      </c>
      <c r="B161" s="270"/>
      <c r="C161" s="270"/>
      <c r="D161" s="270"/>
      <c r="E161" s="270"/>
      <c r="F161" s="270"/>
      <c r="G161" s="270"/>
      <c r="H161" s="270"/>
    </row>
    <row r="162" spans="1:8" s="77" customFormat="1" ht="8.1" customHeight="1" x14ac:dyDescent="0.2">
      <c r="B162" s="81"/>
      <c r="C162" s="81"/>
      <c r="D162" s="81"/>
      <c r="E162" s="81"/>
      <c r="F162" s="81"/>
      <c r="G162" s="81"/>
    </row>
    <row r="163" spans="1:8" s="77" customFormat="1" ht="15" customHeight="1" x14ac:dyDescent="0.2">
      <c r="A163" s="276" t="s">
        <v>303</v>
      </c>
      <c r="B163" s="276"/>
      <c r="C163" s="276"/>
      <c r="D163" s="276"/>
      <c r="E163" s="276"/>
      <c r="F163" s="276"/>
      <c r="G163" s="276"/>
      <c r="H163" s="276"/>
    </row>
    <row r="164" spans="1:8" s="77" customFormat="1" ht="8.1" customHeight="1" x14ac:dyDescent="0.2">
      <c r="B164" s="81"/>
      <c r="C164" s="81"/>
      <c r="D164" s="81"/>
      <c r="E164" s="81"/>
      <c r="F164" s="81"/>
      <c r="G164" s="81"/>
    </row>
    <row r="165" spans="1:8" s="90" customFormat="1" ht="15" customHeight="1" x14ac:dyDescent="0.2">
      <c r="A165" s="106" t="s">
        <v>290</v>
      </c>
      <c r="D165" s="162">
        <f>+D67*D68</f>
        <v>0.72000000000000008</v>
      </c>
      <c r="E165" s="90" t="s">
        <v>206</v>
      </c>
    </row>
    <row r="166" spans="1:8" s="90" customFormat="1" ht="15" customHeight="1" x14ac:dyDescent="0.2">
      <c r="A166" s="106" t="s">
        <v>291</v>
      </c>
      <c r="D166" s="158">
        <v>4</v>
      </c>
      <c r="E166" s="90" t="s">
        <v>292</v>
      </c>
    </row>
    <row r="167" spans="1:8" s="90" customFormat="1" ht="15" customHeight="1" x14ac:dyDescent="0.2">
      <c r="A167" s="106" t="s">
        <v>291</v>
      </c>
      <c r="D167" s="105">
        <f>+D166*0.0254</f>
        <v>0.1016</v>
      </c>
      <c r="E167" s="90" t="s">
        <v>54</v>
      </c>
    </row>
    <row r="168" spans="1:8" s="90" customFormat="1" ht="15" customHeight="1" x14ac:dyDescent="0.2">
      <c r="A168" s="106" t="s">
        <v>293</v>
      </c>
      <c r="D168" s="159">
        <f>+ROUND((PI()*(D167^2)/4),3)</f>
        <v>8.0000000000000002E-3</v>
      </c>
      <c r="E168" s="90" t="s">
        <v>206</v>
      </c>
    </row>
    <row r="169" spans="1:8" s="90" customFormat="1" ht="15" customHeight="1" x14ac:dyDescent="0.2">
      <c r="A169" s="106" t="s">
        <v>301</v>
      </c>
      <c r="D169" s="158">
        <v>1</v>
      </c>
    </row>
    <row r="170" spans="1:8" s="90" customFormat="1" ht="15" customHeight="1" x14ac:dyDescent="0.2">
      <c r="A170" s="106" t="s">
        <v>302</v>
      </c>
      <c r="D170" s="159">
        <f>+D169*D168</f>
        <v>8.0000000000000002E-3</v>
      </c>
      <c r="E170" s="90" t="s">
        <v>206</v>
      </c>
    </row>
    <row r="171" spans="1:8" s="90" customFormat="1" ht="15" customHeight="1" x14ac:dyDescent="0.2">
      <c r="A171" s="106" t="s">
        <v>299</v>
      </c>
      <c r="D171" s="161">
        <f>+D66</f>
        <v>1.5</v>
      </c>
      <c r="E171" s="90" t="s">
        <v>54</v>
      </c>
    </row>
    <row r="172" spans="1:8" s="90" customFormat="1" ht="15" customHeight="1" x14ac:dyDescent="0.2">
      <c r="A172" s="106" t="s">
        <v>294</v>
      </c>
      <c r="D172" s="105">
        <v>0.55000000000000004</v>
      </c>
      <c r="E172" s="90" t="s">
        <v>295</v>
      </c>
    </row>
    <row r="173" spans="1:8" s="90" customFormat="1" ht="15" customHeight="1" x14ac:dyDescent="0.2">
      <c r="A173" s="106" t="s">
        <v>296</v>
      </c>
      <c r="D173" s="105">
        <v>9.81</v>
      </c>
      <c r="E173" s="90" t="s">
        <v>200</v>
      </c>
    </row>
    <row r="174" spans="1:8" s="90" customFormat="1" ht="15" customHeight="1" x14ac:dyDescent="0.2">
      <c r="A174" s="106" t="s">
        <v>298</v>
      </c>
      <c r="D174" s="160">
        <f>+ROUND(((2*D165*(D171^0.5))/(D172*D170*((2*D173)^0.5))/3600),2)</f>
        <v>0.03</v>
      </c>
      <c r="E174" s="101" t="s">
        <v>297</v>
      </c>
    </row>
    <row r="175" spans="1:8" s="90" customFormat="1" ht="15" customHeight="1" x14ac:dyDescent="0.2">
      <c r="A175" s="106" t="s">
        <v>298</v>
      </c>
      <c r="D175" s="155">
        <f>+D174*60</f>
        <v>1.7999999999999998</v>
      </c>
      <c r="E175" s="101" t="s">
        <v>118</v>
      </c>
    </row>
    <row r="176" spans="1:8" s="90" customFormat="1" ht="15" hidden="1" customHeight="1" x14ac:dyDescent="0.2">
      <c r="A176" s="106"/>
      <c r="D176" s="156" t="str">
        <f>+IF(D174&lt;=8,"Cumple Literal B.9.4.10 del RAS/2.000, T &lt; 8 horas","No cumple Literal B.9.4.10 del RAS/2.000, T &lt; 8 horas")</f>
        <v>Cumple Literal B.9.4.10 del RAS/2.000, T &lt; 8 horas</v>
      </c>
    </row>
    <row r="177" spans="1:28" s="77" customFormat="1" ht="8.1" customHeight="1" x14ac:dyDescent="0.2">
      <c r="A177" s="75"/>
      <c r="B177" s="81"/>
      <c r="C177" s="81"/>
      <c r="D177" s="97"/>
      <c r="E177" s="94"/>
      <c r="F177" s="86"/>
      <c r="G177" s="86"/>
    </row>
    <row r="178" spans="1:28" s="77" customFormat="1" ht="30" customHeight="1" x14ac:dyDescent="0.2">
      <c r="A178" s="270" t="str">
        <f>+CONCATENATE("Acorde con lo anterior, el desagüe existente son ",D169," tuberías en PVC de Ø",D166,"pulg., ubicados en el fondo del desarenador, estas tuberías tendrá la capacidad de vaciar completamente la estructura en un tiempo de ",D175," minutos.")</f>
        <v>Acorde con lo anterior, el desagüe existente son 1 tuberías en PVC de Ø4pulg., ubicados en el fondo del desarenador, estas tuberías tendrá la capacidad de vaciar completamente la estructura en un tiempo de 1,8 minutos.</v>
      </c>
      <c r="B178" s="270"/>
      <c r="C178" s="270"/>
      <c r="D178" s="270"/>
      <c r="E178" s="270"/>
      <c r="F178" s="270"/>
      <c r="G178" s="270"/>
      <c r="H178" s="270"/>
    </row>
    <row r="179" spans="1:28" s="77" customFormat="1" ht="8.1" customHeight="1" x14ac:dyDescent="0.2">
      <c r="A179" s="75"/>
      <c r="B179" s="81"/>
      <c r="C179" s="81"/>
      <c r="D179" s="97"/>
      <c r="E179" s="94"/>
      <c r="F179" s="86"/>
      <c r="G179" s="86"/>
    </row>
    <row r="180" spans="1:28" ht="12" customHeight="1" x14ac:dyDescent="0.2">
      <c r="A180" s="274" t="s">
        <v>282</v>
      </c>
      <c r="B180" s="274"/>
      <c r="C180" s="274"/>
      <c r="D180" s="274"/>
      <c r="E180" s="274"/>
      <c r="F180" s="274"/>
      <c r="G180" s="274"/>
      <c r="H180" s="270"/>
    </row>
    <row r="181" spans="1:28" ht="12" customHeight="1" x14ac:dyDescent="0.2">
      <c r="A181" s="274" t="s">
        <v>283</v>
      </c>
      <c r="B181" s="274"/>
      <c r="C181" s="274"/>
      <c r="D181" s="274"/>
      <c r="E181" s="274"/>
      <c r="F181" s="274"/>
      <c r="G181" s="274"/>
      <c r="H181" s="270"/>
    </row>
    <row r="182" spans="1:28" ht="12" customHeight="1" x14ac:dyDescent="0.2">
      <c r="A182" s="274" t="s">
        <v>284</v>
      </c>
      <c r="B182" s="274"/>
      <c r="C182" s="274"/>
      <c r="D182" s="274"/>
      <c r="E182" s="274"/>
      <c r="F182" s="274"/>
      <c r="G182" s="274"/>
      <c r="H182" s="270"/>
    </row>
    <row r="183" spans="1:28" ht="17.25" x14ac:dyDescent="0.2">
      <c r="A183" s="152"/>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ht="17.25" x14ac:dyDescent="0.2">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ht="17.25" x14ac:dyDescent="0.2">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ht="17.25" x14ac:dyDescent="0.2">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ht="17.25" x14ac:dyDescent="0.2">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ht="17.25" x14ac:dyDescent="0.2">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ht="17.25" x14ac:dyDescent="0.2">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ht="17.25" x14ac:dyDescent="0.2">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ht="17.25" x14ac:dyDescent="0.2">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ht="17.25" x14ac:dyDescent="0.2">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ht="17.25" x14ac:dyDescent="0.2">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ht="17.25" x14ac:dyDescent="0.2">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ht="17.25" x14ac:dyDescent="0.2">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ht="17.25" x14ac:dyDescent="0.2">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ht="17.25" x14ac:dyDescent="0.2">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ht="17.25" x14ac:dyDescent="0.2">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ht="17.25" x14ac:dyDescent="0.2">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ht="17.25" x14ac:dyDescent="0.2">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ht="17.25" x14ac:dyDescent="0.2">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ht="17.25" x14ac:dyDescent="0.2">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ht="17.25" x14ac:dyDescent="0.2">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ht="17.25" x14ac:dyDescent="0.2">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ht="17.25" x14ac:dyDescent="0.2">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ht="17.25" x14ac:dyDescent="0.2">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ht="17.25" x14ac:dyDescent="0.2">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ht="17.25" x14ac:dyDescent="0.2">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ht="17.25" x14ac:dyDescent="0.2">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ht="17.25" x14ac:dyDescent="0.2">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ht="17.25" x14ac:dyDescent="0.2">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ht="17.25" x14ac:dyDescent="0.2">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ht="17.25" x14ac:dyDescent="0.2">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ht="17.25" x14ac:dyDescent="0.2">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ht="17.25" x14ac:dyDescent="0.2">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ht="17.25" x14ac:dyDescent="0.2">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ht="17.25" x14ac:dyDescent="0.2">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ht="17.25" x14ac:dyDescent="0.2">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ht="17.25" x14ac:dyDescent="0.2">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ht="17.25" x14ac:dyDescent="0.2">
      <c r="A220" s="129"/>
      <c r="B220" s="129"/>
      <c r="C220" s="129"/>
      <c r="D220" s="129"/>
      <c r="E220" s="129"/>
    </row>
    <row r="221" spans="1:28" ht="17.25" x14ac:dyDescent="0.2">
      <c r="A221" s="129"/>
      <c r="B221" s="129"/>
      <c r="C221" s="129"/>
      <c r="D221" s="129"/>
      <c r="E221" s="129"/>
    </row>
    <row r="222" spans="1:28" ht="17.25" x14ac:dyDescent="0.2">
      <c r="A222" s="129"/>
      <c r="B222" s="129"/>
      <c r="C222" s="129"/>
      <c r="D222" s="129"/>
      <c r="E222" s="129"/>
    </row>
    <row r="223" spans="1:28" ht="17.25" x14ac:dyDescent="0.2">
      <c r="A223" s="129"/>
      <c r="B223" s="129"/>
      <c r="C223" s="129"/>
      <c r="D223" s="129"/>
      <c r="E223" s="129"/>
    </row>
    <row r="224" spans="1:28" ht="17.25" x14ac:dyDescent="0.2">
      <c r="A224" s="129"/>
      <c r="B224" s="129"/>
      <c r="C224" s="129"/>
      <c r="D224" s="129"/>
      <c r="E224" s="129"/>
    </row>
    <row r="225" spans="1:5" ht="17.25" x14ac:dyDescent="0.2">
      <c r="A225" s="129"/>
      <c r="B225" s="129"/>
      <c r="C225" s="129"/>
      <c r="D225" s="129"/>
      <c r="E225" s="129"/>
    </row>
    <row r="226" spans="1:5" ht="17.25" x14ac:dyDescent="0.2">
      <c r="A226" s="129"/>
      <c r="B226" s="129"/>
      <c r="C226" s="129"/>
      <c r="D226" s="129"/>
      <c r="E226" s="129"/>
    </row>
    <row r="227" spans="1:5" ht="17.25" x14ac:dyDescent="0.2">
      <c r="A227" s="129"/>
      <c r="B227" s="129"/>
      <c r="C227" s="129"/>
      <c r="D227" s="129"/>
      <c r="E227" s="129"/>
    </row>
    <row r="228" spans="1:5" ht="17.25" x14ac:dyDescent="0.2">
      <c r="A228" s="129"/>
      <c r="B228" s="129"/>
      <c r="C228" s="129"/>
      <c r="D228" s="129"/>
      <c r="E228" s="129"/>
    </row>
  </sheetData>
  <mergeCells count="57">
    <mergeCell ref="A2:A8"/>
    <mergeCell ref="B2:F2"/>
    <mergeCell ref="G2:G8"/>
    <mergeCell ref="B3:F6"/>
    <mergeCell ref="B7:C8"/>
    <mergeCell ref="D7:E8"/>
    <mergeCell ref="F7:F8"/>
    <mergeCell ref="A182:H182"/>
    <mergeCell ref="A159:H159"/>
    <mergeCell ref="A161:H161"/>
    <mergeCell ref="A163:H163"/>
    <mergeCell ref="A178:H178"/>
    <mergeCell ref="A180:H180"/>
    <mergeCell ref="A181:H181"/>
    <mergeCell ref="A157:H157"/>
    <mergeCell ref="A115:H115"/>
    <mergeCell ref="C117:E117"/>
    <mergeCell ref="A126:H126"/>
    <mergeCell ref="A128:H128"/>
    <mergeCell ref="A130:H130"/>
    <mergeCell ref="C132:E132"/>
    <mergeCell ref="A133:G133"/>
    <mergeCell ref="A140:H140"/>
    <mergeCell ref="A142:H142"/>
    <mergeCell ref="A144:H144"/>
    <mergeCell ref="A146:H146"/>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A21:H21"/>
    <mergeCell ref="A9:H9"/>
    <mergeCell ref="A11:H11"/>
    <mergeCell ref="A13:H13"/>
    <mergeCell ref="A15:H15"/>
    <mergeCell ref="A19:F19"/>
  </mergeCells>
  <printOptions horizontalCentered="1"/>
  <pageMargins left="0.19685039370078741" right="0.19685039370078741" top="0.59055118110236227" bottom="0.59055118110236227" header="0" footer="0.39370078740157483"/>
  <pageSetup scale="95"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C228"/>
  <sheetViews>
    <sheetView view="pageBreakPreview" zoomScaleSheetLayoutView="100" workbookViewId="0">
      <selection activeCell="A15" sqref="A15:H15"/>
    </sheetView>
  </sheetViews>
  <sheetFormatPr baseColWidth="10" defaultRowHeight="12.75" x14ac:dyDescent="0.2"/>
  <cols>
    <col min="1" max="1" width="17.42578125" style="163" customWidth="1"/>
    <col min="2" max="2" width="11.42578125" style="163"/>
    <col min="3" max="3" width="19" style="163" customWidth="1"/>
    <col min="4" max="4" width="10.42578125" style="163" customWidth="1"/>
    <col min="5" max="5" width="8.7109375" style="163" customWidth="1"/>
    <col min="6" max="6" width="14.5703125" style="163" customWidth="1"/>
    <col min="7" max="7" width="16.42578125" style="163" customWidth="1"/>
    <col min="8" max="8" width="6.28515625" style="163" customWidth="1"/>
    <col min="9" max="16384" width="11.42578125" style="163"/>
  </cols>
  <sheetData>
    <row r="1" spans="1:29" x14ac:dyDescent="0.2">
      <c r="A1" s="172"/>
      <c r="B1" s="172"/>
      <c r="C1" s="172"/>
      <c r="D1" s="172"/>
      <c r="E1" s="172"/>
      <c r="F1" s="172"/>
      <c r="G1" s="172"/>
      <c r="H1" s="170"/>
    </row>
    <row r="2" spans="1:29" ht="16.5" customHeight="1" x14ac:dyDescent="0.2">
      <c r="A2" s="285"/>
      <c r="B2" s="283" t="s">
        <v>320</v>
      </c>
      <c r="C2" s="283"/>
      <c r="D2" s="283"/>
      <c r="E2" s="283"/>
      <c r="F2" s="283"/>
      <c r="G2" s="285"/>
      <c r="H2" s="170"/>
    </row>
    <row r="3" spans="1:29" x14ac:dyDescent="0.2">
      <c r="A3" s="285"/>
      <c r="B3" s="284" t="s">
        <v>322</v>
      </c>
      <c r="C3" s="284"/>
      <c r="D3" s="284"/>
      <c r="E3" s="284"/>
      <c r="F3" s="284"/>
      <c r="G3" s="285"/>
      <c r="H3" s="170"/>
    </row>
    <row r="4" spans="1:29" x14ac:dyDescent="0.2">
      <c r="A4" s="285"/>
      <c r="B4" s="284"/>
      <c r="C4" s="284"/>
      <c r="D4" s="284"/>
      <c r="E4" s="284"/>
      <c r="F4" s="284"/>
      <c r="G4" s="285"/>
      <c r="H4" s="170"/>
    </row>
    <row r="5" spans="1:29" s="170" customFormat="1" x14ac:dyDescent="0.2">
      <c r="A5" s="285"/>
      <c r="B5" s="284"/>
      <c r="C5" s="284"/>
      <c r="D5" s="284"/>
      <c r="E5" s="284"/>
      <c r="F5" s="284"/>
      <c r="G5" s="285"/>
    </row>
    <row r="6" spans="1:29" s="170" customFormat="1" x14ac:dyDescent="0.2">
      <c r="A6" s="285"/>
      <c r="B6" s="284"/>
      <c r="C6" s="284"/>
      <c r="D6" s="284"/>
      <c r="E6" s="284"/>
      <c r="F6" s="284"/>
      <c r="G6" s="285"/>
    </row>
    <row r="7" spans="1:29" x14ac:dyDescent="0.2">
      <c r="A7" s="285"/>
      <c r="B7" s="284" t="s">
        <v>326</v>
      </c>
      <c r="C7" s="284"/>
      <c r="D7" s="283" t="s">
        <v>323</v>
      </c>
      <c r="E7" s="283"/>
      <c r="F7" s="283" t="s">
        <v>321</v>
      </c>
      <c r="G7" s="285"/>
      <c r="H7" s="170"/>
    </row>
    <row r="8" spans="1:29" ht="40.5" customHeight="1" x14ac:dyDescent="0.2">
      <c r="A8" s="285"/>
      <c r="B8" s="284"/>
      <c r="C8" s="284"/>
      <c r="D8" s="283"/>
      <c r="E8" s="283"/>
      <c r="F8" s="283"/>
      <c r="G8" s="285"/>
      <c r="H8" s="170"/>
    </row>
    <row r="9" spans="1:29" ht="39.950000000000003" customHeight="1" x14ac:dyDescent="0.2">
      <c r="A9" s="331" t="s">
        <v>358</v>
      </c>
      <c r="B9" s="332"/>
      <c r="C9" s="332"/>
      <c r="D9" s="332"/>
      <c r="E9" s="332"/>
      <c r="F9" s="332"/>
      <c r="G9" s="332"/>
      <c r="H9" s="332"/>
    </row>
    <row r="10" spans="1:29" ht="9.9499999999999993" customHeight="1" x14ac:dyDescent="0.2">
      <c r="A10" s="123"/>
      <c r="B10" s="93"/>
      <c r="C10" s="93"/>
      <c r="D10" s="93"/>
      <c r="E10" s="93"/>
      <c r="F10" s="93"/>
      <c r="G10" s="93"/>
      <c r="H10" s="93"/>
    </row>
    <row r="11" spans="1:29" s="125" customFormat="1" ht="18" customHeight="1" x14ac:dyDescent="0.2">
      <c r="A11" s="334" t="s">
        <v>314</v>
      </c>
      <c r="B11" s="334"/>
      <c r="C11" s="334"/>
      <c r="D11" s="334"/>
      <c r="E11" s="334"/>
      <c r="F11" s="334"/>
      <c r="G11" s="334"/>
      <c r="H11" s="334"/>
    </row>
    <row r="12" spans="1:29" s="125" customFormat="1" ht="9.9499999999999993" customHeight="1" x14ac:dyDescent="0.2">
      <c r="A12" s="165"/>
      <c r="B12" s="165"/>
      <c r="C12" s="165"/>
      <c r="D12" s="165"/>
      <c r="E12" s="165"/>
      <c r="F12" s="165"/>
      <c r="G12" s="165"/>
      <c r="H12" s="165"/>
    </row>
    <row r="13" spans="1:29" s="125" customFormat="1" ht="15" customHeight="1" x14ac:dyDescent="0.2">
      <c r="A13" s="279" t="s">
        <v>209</v>
      </c>
      <c r="B13" s="279"/>
      <c r="C13" s="279"/>
      <c r="D13" s="270"/>
      <c r="E13" s="270"/>
      <c r="F13" s="270"/>
      <c r="G13" s="270"/>
      <c r="H13" s="270"/>
    </row>
    <row r="14" spans="1:29" s="125" customFormat="1" ht="9.9499999999999993" customHeight="1" x14ac:dyDescent="0.2">
      <c r="A14" s="165"/>
      <c r="B14" s="165"/>
      <c r="C14" s="165"/>
      <c r="D14" s="165"/>
      <c r="E14" s="165"/>
      <c r="F14" s="165"/>
      <c r="G14" s="165"/>
      <c r="H14" s="165"/>
    </row>
    <row r="15" spans="1:29" s="125" customFormat="1" ht="144" customHeight="1" x14ac:dyDescent="0.2">
      <c r="A15" s="335" t="s">
        <v>354</v>
      </c>
      <c r="B15" s="335"/>
      <c r="C15" s="335"/>
      <c r="D15" s="335"/>
      <c r="E15" s="335"/>
      <c r="F15" s="335"/>
      <c r="G15" s="335"/>
      <c r="H15" s="335"/>
      <c r="K15" s="77"/>
      <c r="L15" s="166"/>
      <c r="M15" s="163"/>
      <c r="N15" s="163"/>
      <c r="O15" s="163"/>
      <c r="P15" s="163"/>
      <c r="Q15" s="163"/>
      <c r="R15" s="163"/>
      <c r="S15" s="163"/>
      <c r="T15" s="163"/>
      <c r="U15" s="163"/>
      <c r="V15" s="163"/>
      <c r="W15" s="163"/>
      <c r="X15" s="163"/>
      <c r="Y15" s="163"/>
      <c r="Z15" s="163"/>
      <c r="AA15" s="163"/>
      <c r="AB15" s="163"/>
      <c r="AC15" s="163"/>
    </row>
    <row r="16" spans="1:29" s="125" customFormat="1" ht="9.9499999999999993" customHeight="1" x14ac:dyDescent="0.2">
      <c r="A16" s="165"/>
      <c r="B16" s="165"/>
      <c r="C16" s="165"/>
      <c r="D16" s="165"/>
      <c r="E16" s="165"/>
      <c r="F16" s="165"/>
      <c r="G16" s="165"/>
      <c r="H16" s="165"/>
    </row>
    <row r="17" spans="1:29" s="125" customFormat="1" ht="12" hidden="1" customHeight="1" x14ac:dyDescent="0.2">
      <c r="A17" s="77" t="s">
        <v>1</v>
      </c>
      <c r="B17" s="164"/>
      <c r="C17" s="164"/>
      <c r="D17" s="164"/>
      <c r="F17" s="164"/>
      <c r="G17" s="164"/>
      <c r="H17" s="164"/>
      <c r="J17" s="77"/>
      <c r="K17" s="77"/>
      <c r="L17" s="166"/>
      <c r="M17" s="163"/>
      <c r="N17" s="163"/>
      <c r="O17" s="163"/>
      <c r="P17" s="163"/>
      <c r="Q17" s="163"/>
      <c r="R17" s="163"/>
      <c r="S17" s="163"/>
      <c r="T17" s="163"/>
      <c r="U17" s="163"/>
      <c r="V17" s="163"/>
      <c r="W17" s="163"/>
      <c r="X17" s="163"/>
      <c r="Y17" s="163"/>
      <c r="Z17" s="163"/>
      <c r="AA17" s="163"/>
      <c r="AB17" s="163"/>
      <c r="AC17" s="163"/>
    </row>
    <row r="18" spans="1:29" s="125" customFormat="1" ht="9" hidden="1" customHeight="1" x14ac:dyDescent="0.2">
      <c r="A18" s="164"/>
      <c r="B18" s="164"/>
      <c r="C18" s="164"/>
      <c r="D18" s="164"/>
      <c r="E18" s="164"/>
      <c r="F18" s="164"/>
      <c r="G18" s="164"/>
      <c r="H18" s="164"/>
      <c r="J18" s="77"/>
      <c r="K18" s="77"/>
      <c r="L18" s="166"/>
      <c r="M18" s="163"/>
      <c r="N18" s="163"/>
      <c r="O18" s="163"/>
      <c r="P18" s="163"/>
      <c r="Q18" s="163"/>
      <c r="R18" s="163"/>
      <c r="S18" s="163"/>
      <c r="T18" s="163"/>
      <c r="U18" s="163"/>
      <c r="V18" s="163"/>
      <c r="W18" s="163"/>
      <c r="X18" s="163"/>
      <c r="Y18" s="163"/>
      <c r="Z18" s="163"/>
      <c r="AA18" s="163"/>
      <c r="AB18" s="163"/>
      <c r="AC18" s="163"/>
    </row>
    <row r="19" spans="1:29" s="125" customFormat="1" ht="12" hidden="1" customHeight="1" x14ac:dyDescent="0.2">
      <c r="A19" s="333" t="s">
        <v>0</v>
      </c>
      <c r="B19" s="333"/>
      <c r="C19" s="333"/>
      <c r="D19" s="333"/>
      <c r="E19" s="333"/>
      <c r="F19" s="333"/>
      <c r="G19" s="164"/>
      <c r="H19" s="164"/>
      <c r="J19" s="77"/>
      <c r="K19" s="77"/>
      <c r="L19" s="166"/>
      <c r="M19" s="163"/>
      <c r="N19" s="163"/>
      <c r="O19" s="163"/>
      <c r="P19" s="163"/>
      <c r="Q19" s="163"/>
      <c r="R19" s="163"/>
      <c r="S19" s="163"/>
      <c r="T19" s="163"/>
      <c r="U19" s="163"/>
      <c r="V19" s="163"/>
      <c r="W19" s="163"/>
      <c r="X19" s="163"/>
      <c r="Y19" s="163"/>
      <c r="Z19" s="163"/>
      <c r="AA19" s="163"/>
      <c r="AB19" s="163"/>
      <c r="AC19" s="163"/>
    </row>
    <row r="20" spans="1:29" s="125" customFormat="1" ht="12" hidden="1" customHeight="1" x14ac:dyDescent="0.2">
      <c r="A20" s="127"/>
      <c r="B20" s="127"/>
      <c r="C20" s="127"/>
      <c r="D20" s="127"/>
      <c r="E20" s="127"/>
      <c r="F20" s="128"/>
      <c r="G20" s="164"/>
      <c r="H20" s="164"/>
      <c r="J20" s="77"/>
      <c r="K20" s="77"/>
      <c r="L20" s="166"/>
      <c r="M20" s="163"/>
      <c r="N20" s="163"/>
      <c r="O20" s="163"/>
      <c r="P20" s="163"/>
      <c r="Q20" s="163"/>
      <c r="R20" s="163"/>
      <c r="S20" s="163"/>
      <c r="T20" s="163"/>
      <c r="U20" s="163"/>
      <c r="V20" s="163"/>
      <c r="W20" s="163"/>
      <c r="X20" s="163"/>
      <c r="Y20" s="163"/>
      <c r="Z20" s="163"/>
      <c r="AA20" s="163"/>
      <c r="AB20" s="163"/>
      <c r="AC20" s="163"/>
    </row>
    <row r="21" spans="1:29" s="125" customFormat="1" ht="36.75" hidden="1" customHeight="1" x14ac:dyDescent="0.2">
      <c r="A21" s="330" t="s">
        <v>247</v>
      </c>
      <c r="B21" s="330"/>
      <c r="C21" s="330"/>
      <c r="D21" s="330"/>
      <c r="E21" s="330"/>
      <c r="F21" s="330"/>
      <c r="G21" s="330"/>
      <c r="H21" s="330"/>
      <c r="J21" s="77"/>
      <c r="K21" s="77"/>
      <c r="L21" s="166"/>
      <c r="M21" s="163"/>
      <c r="N21" s="163"/>
      <c r="O21" s="163"/>
      <c r="P21" s="163"/>
      <c r="Q21" s="163"/>
      <c r="R21" s="163"/>
      <c r="S21" s="163"/>
      <c r="T21" s="163"/>
      <c r="U21" s="163"/>
      <c r="V21" s="163"/>
      <c r="W21" s="163"/>
      <c r="X21" s="163"/>
      <c r="Y21" s="163"/>
      <c r="Z21" s="163"/>
      <c r="AA21" s="163"/>
      <c r="AB21" s="163"/>
      <c r="AC21" s="163"/>
    </row>
    <row r="22" spans="1:29" s="125" customFormat="1" ht="9" hidden="1" customHeight="1" x14ac:dyDescent="0.2">
      <c r="A22" s="127"/>
      <c r="B22" s="127"/>
      <c r="C22" s="127"/>
      <c r="D22" s="127"/>
      <c r="E22" s="127"/>
      <c r="F22" s="128"/>
      <c r="G22" s="164"/>
      <c r="H22" s="164"/>
      <c r="J22" s="77"/>
      <c r="K22" s="77"/>
      <c r="L22" s="166"/>
      <c r="M22" s="163"/>
      <c r="N22" s="163"/>
      <c r="O22" s="163"/>
      <c r="P22" s="163"/>
      <c r="Q22" s="163"/>
      <c r="R22" s="163"/>
      <c r="S22" s="163"/>
      <c r="T22" s="163"/>
      <c r="U22" s="163"/>
      <c r="V22" s="163"/>
      <c r="W22" s="163"/>
      <c r="X22" s="163"/>
      <c r="Y22" s="163"/>
      <c r="Z22" s="163"/>
      <c r="AA22" s="163"/>
      <c r="AB22" s="163"/>
      <c r="AC22" s="163"/>
    </row>
    <row r="23" spans="1:29" s="125" customFormat="1" ht="27" hidden="1" customHeight="1" x14ac:dyDescent="0.2">
      <c r="A23" s="330" t="s">
        <v>240</v>
      </c>
      <c r="B23" s="330"/>
      <c r="C23" s="330"/>
      <c r="D23" s="330"/>
      <c r="E23" s="330"/>
      <c r="F23" s="330"/>
      <c r="G23" s="330"/>
      <c r="H23" s="330"/>
      <c r="J23" s="77"/>
      <c r="K23" s="77"/>
      <c r="L23" s="166"/>
      <c r="M23" s="163"/>
      <c r="N23" s="163"/>
      <c r="O23" s="163"/>
      <c r="P23" s="163"/>
      <c r="Q23" s="163"/>
      <c r="R23" s="163"/>
      <c r="S23" s="163"/>
      <c r="T23" s="163"/>
      <c r="U23" s="163"/>
      <c r="V23" s="163"/>
      <c r="W23" s="163"/>
      <c r="X23" s="163"/>
      <c r="Y23" s="163"/>
      <c r="Z23" s="163"/>
      <c r="AA23" s="163"/>
      <c r="AB23" s="163"/>
      <c r="AC23" s="163"/>
    </row>
    <row r="24" spans="1:29" s="125" customFormat="1" ht="9" hidden="1" customHeight="1" x14ac:dyDescent="0.2">
      <c r="A24" s="127"/>
      <c r="B24" s="127"/>
      <c r="C24" s="127"/>
      <c r="D24" s="127"/>
      <c r="E24" s="127"/>
      <c r="F24" s="128"/>
      <c r="G24" s="164"/>
      <c r="H24" s="164"/>
      <c r="J24" s="77"/>
      <c r="K24" s="77"/>
      <c r="L24" s="166"/>
      <c r="M24" s="163"/>
      <c r="N24" s="163"/>
      <c r="O24" s="163"/>
      <c r="P24" s="163"/>
      <c r="Q24" s="163"/>
      <c r="R24" s="163"/>
      <c r="S24" s="163"/>
      <c r="T24" s="163"/>
      <c r="U24" s="163"/>
      <c r="V24" s="163"/>
      <c r="W24" s="163"/>
      <c r="X24" s="163"/>
      <c r="Y24" s="163"/>
      <c r="Z24" s="163"/>
      <c r="AA24" s="163"/>
      <c r="AB24" s="163"/>
      <c r="AC24" s="163"/>
    </row>
    <row r="25" spans="1:29" s="125" customFormat="1" ht="37.5" hidden="1" customHeight="1" x14ac:dyDescent="0.2">
      <c r="A25" s="330" t="s">
        <v>248</v>
      </c>
      <c r="B25" s="330"/>
      <c r="C25" s="330"/>
      <c r="D25" s="330"/>
      <c r="E25" s="330"/>
      <c r="F25" s="330"/>
      <c r="G25" s="330"/>
      <c r="H25" s="330"/>
      <c r="J25" s="77"/>
      <c r="K25" s="77"/>
      <c r="L25" s="166"/>
      <c r="M25" s="163"/>
      <c r="N25" s="163"/>
      <c r="O25" s="163"/>
      <c r="P25" s="163"/>
      <c r="Q25" s="163"/>
      <c r="R25" s="163"/>
      <c r="S25" s="163"/>
      <c r="T25" s="163"/>
      <c r="U25" s="163"/>
      <c r="V25" s="163"/>
      <c r="W25" s="163"/>
      <c r="X25" s="163"/>
      <c r="Y25" s="163"/>
      <c r="Z25" s="163"/>
      <c r="AA25" s="163"/>
      <c r="AB25" s="163"/>
      <c r="AC25" s="163"/>
    </row>
    <row r="26" spans="1:29" s="125" customFormat="1" ht="9" hidden="1" customHeight="1" x14ac:dyDescent="0.2">
      <c r="A26" s="164"/>
      <c r="B26" s="164"/>
      <c r="C26" s="164"/>
      <c r="D26" s="164"/>
      <c r="E26" s="164"/>
      <c r="F26" s="164"/>
      <c r="G26" s="164"/>
      <c r="H26" s="164"/>
      <c r="J26" s="77"/>
      <c r="K26" s="77"/>
      <c r="L26" s="166"/>
      <c r="M26" s="163"/>
      <c r="N26" s="163"/>
      <c r="O26" s="163"/>
      <c r="P26" s="163"/>
      <c r="Q26" s="163"/>
      <c r="R26" s="163"/>
      <c r="S26" s="163"/>
      <c r="T26" s="163"/>
      <c r="U26" s="163"/>
      <c r="V26" s="163"/>
      <c r="W26" s="163"/>
      <c r="X26" s="163"/>
      <c r="Y26" s="163"/>
      <c r="Z26" s="163"/>
      <c r="AA26" s="163"/>
      <c r="AB26" s="163"/>
      <c r="AC26" s="163"/>
    </row>
    <row r="27" spans="1:29" s="125" customFormat="1" ht="24.75" hidden="1" customHeight="1" x14ac:dyDescent="0.2">
      <c r="A27" s="330" t="s">
        <v>242</v>
      </c>
      <c r="B27" s="330"/>
      <c r="C27" s="330"/>
      <c r="D27" s="330"/>
      <c r="E27" s="330"/>
      <c r="F27" s="330"/>
      <c r="G27" s="330"/>
      <c r="H27" s="330"/>
      <c r="J27" s="77"/>
      <c r="K27" s="77"/>
      <c r="L27" s="166"/>
      <c r="M27" s="163"/>
      <c r="N27" s="163"/>
      <c r="O27" s="163"/>
      <c r="P27" s="163"/>
      <c r="Q27" s="163"/>
      <c r="R27" s="163"/>
      <c r="S27" s="163"/>
      <c r="T27" s="163"/>
      <c r="U27" s="163"/>
      <c r="V27" s="163"/>
      <c r="W27" s="163"/>
      <c r="X27" s="163"/>
      <c r="Y27" s="163"/>
      <c r="Z27" s="163"/>
      <c r="AA27" s="163"/>
      <c r="AB27" s="163"/>
      <c r="AC27" s="163"/>
    </row>
    <row r="28" spans="1:29" s="125" customFormat="1" ht="9" hidden="1" customHeight="1" x14ac:dyDescent="0.2">
      <c r="A28" s="127"/>
      <c r="B28" s="127"/>
      <c r="C28" s="127"/>
      <c r="D28" s="127"/>
      <c r="E28" s="127"/>
      <c r="F28" s="128"/>
      <c r="G28" s="164"/>
      <c r="H28" s="164"/>
      <c r="J28" s="77"/>
      <c r="K28" s="77"/>
      <c r="L28" s="166"/>
      <c r="M28" s="163"/>
      <c r="N28" s="163"/>
      <c r="O28" s="163"/>
      <c r="P28" s="163"/>
      <c r="Q28" s="163"/>
      <c r="R28" s="163"/>
      <c r="S28" s="163"/>
      <c r="T28" s="163"/>
      <c r="U28" s="163"/>
      <c r="V28" s="163"/>
      <c r="W28" s="163"/>
      <c r="X28" s="163"/>
      <c r="Y28" s="163"/>
      <c r="Z28" s="163"/>
      <c r="AA28" s="163"/>
      <c r="AB28" s="163"/>
      <c r="AC28" s="163"/>
    </row>
    <row r="29" spans="1:29" s="125" customFormat="1" ht="28.5" hidden="1" customHeight="1" x14ac:dyDescent="0.2">
      <c r="A29" s="330" t="s">
        <v>243</v>
      </c>
      <c r="B29" s="330"/>
      <c r="C29" s="330"/>
      <c r="D29" s="330"/>
      <c r="E29" s="330"/>
      <c r="F29" s="330"/>
      <c r="G29" s="330"/>
      <c r="H29" s="330"/>
      <c r="J29" s="77"/>
      <c r="K29" s="77"/>
      <c r="L29" s="166"/>
      <c r="M29" s="163"/>
      <c r="N29" s="163"/>
      <c r="O29" s="163"/>
      <c r="P29" s="163"/>
      <c r="Q29" s="163"/>
      <c r="R29" s="163"/>
      <c r="S29" s="163"/>
      <c r="T29" s="163"/>
      <c r="U29" s="163"/>
      <c r="V29" s="163"/>
      <c r="W29" s="163"/>
      <c r="X29" s="163"/>
      <c r="Y29" s="163"/>
      <c r="Z29" s="163"/>
      <c r="AA29" s="163"/>
      <c r="AB29" s="163"/>
      <c r="AC29" s="163"/>
    </row>
    <row r="30" spans="1:29" s="125" customFormat="1" ht="9" hidden="1" customHeight="1" x14ac:dyDescent="0.2">
      <c r="A30" s="127"/>
      <c r="B30" s="127"/>
      <c r="C30" s="127"/>
      <c r="D30" s="127"/>
      <c r="E30" s="127"/>
      <c r="F30" s="128"/>
      <c r="G30" s="164"/>
      <c r="H30" s="164"/>
      <c r="J30" s="77"/>
      <c r="K30" s="77"/>
      <c r="L30" s="166"/>
      <c r="M30" s="163"/>
      <c r="N30" s="163"/>
      <c r="O30" s="163"/>
      <c r="P30" s="163"/>
      <c r="Q30" s="163"/>
      <c r="R30" s="163"/>
      <c r="S30" s="163"/>
      <c r="T30" s="163"/>
      <c r="U30" s="163"/>
      <c r="V30" s="163"/>
      <c r="W30" s="163"/>
      <c r="X30" s="163"/>
      <c r="Y30" s="163"/>
      <c r="Z30" s="163"/>
      <c r="AA30" s="163"/>
      <c r="AB30" s="163"/>
      <c r="AC30" s="163"/>
    </row>
    <row r="31" spans="1:29" s="125" customFormat="1" ht="26.25" hidden="1" customHeight="1" x14ac:dyDescent="0.2">
      <c r="A31" s="330" t="s">
        <v>244</v>
      </c>
      <c r="B31" s="330"/>
      <c r="C31" s="330"/>
      <c r="D31" s="330"/>
      <c r="E31" s="330"/>
      <c r="F31" s="330"/>
      <c r="G31" s="330"/>
      <c r="H31" s="330"/>
      <c r="J31" s="77"/>
      <c r="K31" s="77"/>
      <c r="L31" s="166"/>
      <c r="M31" s="163"/>
      <c r="N31" s="163"/>
      <c r="O31" s="163"/>
      <c r="P31" s="163"/>
      <c r="Q31" s="163"/>
      <c r="R31" s="163"/>
      <c r="S31" s="163"/>
      <c r="T31" s="163"/>
      <c r="U31" s="163"/>
      <c r="V31" s="163"/>
      <c r="W31" s="163"/>
      <c r="X31" s="163"/>
      <c r="Y31" s="163"/>
      <c r="Z31" s="163"/>
      <c r="AA31" s="163"/>
      <c r="AB31" s="163"/>
      <c r="AC31" s="163"/>
    </row>
    <row r="32" spans="1:29" s="125" customFormat="1" ht="9" hidden="1" customHeight="1" x14ac:dyDescent="0.2">
      <c r="A32" s="127"/>
      <c r="B32" s="127"/>
      <c r="C32" s="127"/>
      <c r="D32" s="127"/>
      <c r="E32" s="127"/>
      <c r="F32" s="128"/>
      <c r="G32" s="164"/>
      <c r="H32" s="164"/>
      <c r="J32" s="77"/>
      <c r="K32" s="77"/>
      <c r="L32" s="166"/>
      <c r="M32" s="163"/>
      <c r="N32" s="163"/>
      <c r="O32" s="163"/>
      <c r="P32" s="163"/>
      <c r="Q32" s="163"/>
      <c r="R32" s="163"/>
      <c r="S32" s="163"/>
      <c r="T32" s="163"/>
      <c r="U32" s="163"/>
      <c r="V32" s="163"/>
      <c r="W32" s="163"/>
      <c r="X32" s="163"/>
      <c r="Y32" s="163"/>
      <c r="Z32" s="163"/>
      <c r="AA32" s="163"/>
      <c r="AB32" s="163"/>
      <c r="AC32" s="163"/>
    </row>
    <row r="33" spans="1:29" s="125" customFormat="1" ht="51.75" hidden="1" customHeight="1" x14ac:dyDescent="0.2">
      <c r="A33" s="330" t="s">
        <v>249</v>
      </c>
      <c r="B33" s="330"/>
      <c r="C33" s="330"/>
      <c r="D33" s="330"/>
      <c r="E33" s="330"/>
      <c r="F33" s="330"/>
      <c r="G33" s="330"/>
      <c r="H33" s="330"/>
      <c r="J33" s="77"/>
      <c r="K33" s="77"/>
      <c r="L33" s="166"/>
      <c r="M33" s="163"/>
      <c r="N33" s="163"/>
      <c r="O33" s="163"/>
      <c r="P33" s="163"/>
      <c r="Q33" s="163"/>
      <c r="R33" s="163"/>
      <c r="S33" s="163"/>
      <c r="T33" s="163"/>
      <c r="U33" s="163"/>
      <c r="V33" s="163"/>
      <c r="W33" s="163"/>
      <c r="X33" s="163"/>
      <c r="Y33" s="163"/>
      <c r="Z33" s="163"/>
      <c r="AA33" s="163"/>
      <c r="AB33" s="163"/>
      <c r="AC33" s="163"/>
    </row>
    <row r="34" spans="1:29" s="125" customFormat="1" ht="9" hidden="1" customHeight="1" x14ac:dyDescent="0.2">
      <c r="A34" s="127"/>
      <c r="B34" s="127"/>
      <c r="C34" s="127"/>
      <c r="D34" s="127"/>
      <c r="E34" s="127"/>
      <c r="F34" s="128"/>
      <c r="G34" s="164"/>
      <c r="H34" s="164"/>
      <c r="J34" s="77"/>
      <c r="K34" s="77"/>
      <c r="L34" s="166"/>
      <c r="M34" s="163"/>
      <c r="N34" s="163"/>
      <c r="O34" s="163"/>
      <c r="P34" s="163"/>
      <c r="Q34" s="163"/>
      <c r="R34" s="163"/>
      <c r="S34" s="163"/>
      <c r="T34" s="163"/>
      <c r="U34" s="163"/>
      <c r="V34" s="163"/>
      <c r="W34" s="163"/>
      <c r="X34" s="163"/>
      <c r="Y34" s="163"/>
      <c r="Z34" s="163"/>
      <c r="AA34" s="163"/>
      <c r="AB34" s="163"/>
      <c r="AC34" s="163"/>
    </row>
    <row r="35" spans="1:29" s="125" customFormat="1" ht="27" hidden="1" customHeight="1" x14ac:dyDescent="0.2">
      <c r="A35" s="330" t="s">
        <v>250</v>
      </c>
      <c r="B35" s="330"/>
      <c r="C35" s="330"/>
      <c r="D35" s="330"/>
      <c r="E35" s="330"/>
      <c r="F35" s="330"/>
      <c r="G35" s="330"/>
      <c r="H35" s="330"/>
      <c r="J35" s="77"/>
      <c r="K35" s="77"/>
      <c r="L35" s="166"/>
      <c r="M35" s="163"/>
      <c r="N35" s="163"/>
      <c r="O35" s="163"/>
      <c r="P35" s="163"/>
      <c r="Q35" s="163"/>
      <c r="R35" s="163"/>
      <c r="S35" s="163"/>
      <c r="T35" s="163"/>
      <c r="U35" s="163"/>
      <c r="V35" s="163"/>
      <c r="W35" s="163"/>
      <c r="X35" s="163"/>
      <c r="Y35" s="163"/>
      <c r="Z35" s="163"/>
      <c r="AA35" s="163"/>
      <c r="AB35" s="163"/>
      <c r="AC35" s="163"/>
    </row>
    <row r="36" spans="1:29" s="125" customFormat="1" ht="15" hidden="1" customHeight="1" x14ac:dyDescent="0.2">
      <c r="A36" s="77"/>
      <c r="B36" s="164"/>
      <c r="C36" s="164"/>
      <c r="D36" s="164"/>
      <c r="E36" s="164"/>
      <c r="F36" s="164"/>
      <c r="G36" s="164"/>
      <c r="H36" s="164"/>
      <c r="J36" s="77"/>
      <c r="K36" s="77"/>
      <c r="L36" s="166"/>
      <c r="M36" s="163"/>
      <c r="N36" s="163"/>
      <c r="O36" s="163"/>
      <c r="P36" s="163"/>
      <c r="Q36" s="163"/>
      <c r="R36" s="163"/>
      <c r="S36" s="163"/>
      <c r="T36" s="163"/>
      <c r="U36" s="163"/>
      <c r="V36" s="163"/>
      <c r="W36" s="163"/>
      <c r="X36" s="163"/>
      <c r="Y36" s="163"/>
      <c r="Z36" s="163"/>
      <c r="AA36" s="163"/>
      <c r="AB36" s="163"/>
      <c r="AC36" s="163"/>
    </row>
    <row r="37" spans="1:29" s="125" customFormat="1" ht="15" customHeight="1" x14ac:dyDescent="0.2">
      <c r="A37" s="279" t="s">
        <v>269</v>
      </c>
      <c r="B37" s="279"/>
      <c r="C37" s="279"/>
      <c r="D37" s="270"/>
      <c r="E37" s="270"/>
      <c r="F37" s="270"/>
      <c r="G37" s="270"/>
      <c r="H37" s="270"/>
    </row>
    <row r="38" spans="1:29" ht="9" customHeight="1" x14ac:dyDescent="0.2">
      <c r="A38" s="77"/>
      <c r="P38" s="130"/>
    </row>
    <row r="39" spans="1:29" ht="15" customHeight="1" x14ac:dyDescent="0.2">
      <c r="A39" s="163" t="s">
        <v>130</v>
      </c>
      <c r="D39" s="145">
        <v>15</v>
      </c>
      <c r="E39" s="163" t="s">
        <v>128</v>
      </c>
      <c r="P39" s="130"/>
    </row>
    <row r="40" spans="1:29" ht="15" customHeight="1" x14ac:dyDescent="0.2">
      <c r="A40" s="163" t="s">
        <v>75</v>
      </c>
      <c r="D40" s="131">
        <f>LOOKUP(D39,'Viscosidad, Numero Hazen'!A5:A35,'Viscosidad, Numero Hazen'!E5:E35)</f>
        <v>1.1459970174051426E-2</v>
      </c>
      <c r="E40" s="163" t="s">
        <v>251</v>
      </c>
      <c r="P40" s="130"/>
    </row>
    <row r="41" spans="1:29" ht="15" customHeight="1" x14ac:dyDescent="0.2">
      <c r="A41" s="163" t="s">
        <v>76</v>
      </c>
      <c r="D41" s="145">
        <v>0.02</v>
      </c>
      <c r="E41" s="163" t="s">
        <v>64</v>
      </c>
      <c r="P41" s="130"/>
    </row>
    <row r="42" spans="1:29" ht="15" customHeight="1" x14ac:dyDescent="0.2">
      <c r="A42" s="163" t="s">
        <v>77</v>
      </c>
      <c r="D42" s="145">
        <v>87.5</v>
      </c>
      <c r="E42" s="163" t="s">
        <v>65</v>
      </c>
      <c r="P42" s="130"/>
    </row>
    <row r="43" spans="1:29" ht="15" customHeight="1" x14ac:dyDescent="0.2">
      <c r="A43" s="163" t="s">
        <v>78</v>
      </c>
      <c r="D43" s="145">
        <v>981</v>
      </c>
      <c r="E43" s="163" t="s">
        <v>252</v>
      </c>
      <c r="P43" s="130"/>
    </row>
    <row r="44" spans="1:29" ht="15" customHeight="1" x14ac:dyDescent="0.2">
      <c r="A44" s="163" t="s">
        <v>253</v>
      </c>
      <c r="D44" s="133">
        <v>2.65</v>
      </c>
      <c r="E44" s="163" t="s">
        <v>254</v>
      </c>
      <c r="F44" s="90" t="s">
        <v>190</v>
      </c>
      <c r="P44" s="130"/>
      <c r="V44" s="132"/>
      <c r="W44" s="132"/>
      <c r="X44" s="132"/>
      <c r="Y44" s="132"/>
      <c r="Z44" s="132"/>
      <c r="AA44" s="132"/>
      <c r="AB44" s="132"/>
      <c r="AC44" s="132"/>
    </row>
    <row r="45" spans="1:29" ht="15" customHeight="1" x14ac:dyDescent="0.2">
      <c r="A45" s="163" t="s">
        <v>255</v>
      </c>
      <c r="D45" s="133">
        <v>1</v>
      </c>
      <c r="E45" s="163" t="s">
        <v>254</v>
      </c>
      <c r="J45" s="127"/>
      <c r="K45" s="127"/>
      <c r="L45" s="127"/>
      <c r="M45" s="127"/>
      <c r="N45" s="127"/>
      <c r="O45" s="128"/>
      <c r="P45" s="130"/>
      <c r="V45" s="132"/>
      <c r="W45" s="132"/>
      <c r="X45" s="132"/>
      <c r="Y45" s="132"/>
      <c r="Z45" s="132"/>
      <c r="AA45" s="132"/>
      <c r="AB45" s="132"/>
      <c r="AC45" s="132"/>
    </row>
    <row r="46" spans="1:29" s="77" customFormat="1" ht="9.9499999999999993" customHeight="1" x14ac:dyDescent="0.2">
      <c r="A46" s="164"/>
      <c r="B46" s="164"/>
      <c r="C46" s="164"/>
      <c r="D46" s="164"/>
      <c r="E46" s="164"/>
      <c r="F46" s="164"/>
      <c r="G46" s="164"/>
    </row>
    <row r="47" spans="1:29" s="77" customFormat="1" ht="15" customHeight="1" x14ac:dyDescent="0.2">
      <c r="A47" s="279" t="s">
        <v>270</v>
      </c>
      <c r="B47" s="279"/>
      <c r="C47" s="279"/>
      <c r="D47" s="270"/>
      <c r="E47" s="270"/>
      <c r="F47" s="270"/>
      <c r="G47" s="270"/>
      <c r="H47" s="270"/>
    </row>
    <row r="48" spans="1:29" s="77" customFormat="1" ht="9.9499999999999993" customHeight="1" x14ac:dyDescent="0.2">
      <c r="B48" s="81"/>
      <c r="C48" s="81"/>
      <c r="D48" s="81"/>
      <c r="E48" s="81"/>
      <c r="F48" s="81"/>
      <c r="G48" s="81"/>
    </row>
    <row r="49" spans="1:29" ht="15" customHeight="1" x14ac:dyDescent="0.2">
      <c r="A49" s="279" t="s">
        <v>271</v>
      </c>
      <c r="B49" s="270"/>
      <c r="C49" s="270"/>
      <c r="D49" s="270"/>
      <c r="E49" s="270"/>
      <c r="F49" s="270"/>
      <c r="G49" s="270"/>
      <c r="H49" s="270"/>
      <c r="P49" s="130"/>
      <c r="V49" s="132"/>
      <c r="W49" s="132"/>
      <c r="X49" s="132"/>
      <c r="Y49" s="132"/>
      <c r="Z49" s="132"/>
      <c r="AA49" s="132"/>
      <c r="AB49" s="132"/>
      <c r="AC49" s="132"/>
    </row>
    <row r="50" spans="1:29" ht="9.9499999999999993" customHeight="1" x14ac:dyDescent="0.2">
      <c r="A50" s="77"/>
      <c r="P50" s="130"/>
      <c r="V50" s="132"/>
      <c r="W50" s="132"/>
      <c r="X50" s="132"/>
      <c r="Y50" s="132"/>
      <c r="Z50" s="132"/>
      <c r="AA50" s="132"/>
      <c r="AB50" s="132"/>
      <c r="AC50" s="132"/>
    </row>
    <row r="51" spans="1:29" ht="15" customHeight="1" x14ac:dyDescent="0.2">
      <c r="A51" s="335" t="s">
        <v>131</v>
      </c>
      <c r="B51" s="335"/>
      <c r="C51" s="335"/>
      <c r="D51" s="335"/>
      <c r="E51" s="335"/>
      <c r="F51" s="335"/>
      <c r="G51" s="335"/>
      <c r="H51" s="335"/>
      <c r="P51" s="130"/>
      <c r="V51" s="132"/>
      <c r="W51" s="132"/>
      <c r="X51" s="132"/>
      <c r="Y51" s="132"/>
      <c r="Z51" s="132"/>
      <c r="AA51" s="132"/>
      <c r="AB51" s="132"/>
      <c r="AC51" s="132"/>
    </row>
    <row r="52" spans="1:29" ht="9.9499999999999993" customHeight="1" x14ac:dyDescent="0.2">
      <c r="P52" s="130"/>
      <c r="V52" s="132"/>
      <c r="W52" s="132"/>
      <c r="X52" s="132"/>
      <c r="Y52" s="132"/>
      <c r="Z52" s="132"/>
      <c r="AA52" s="132"/>
      <c r="AB52" s="132"/>
      <c r="AC52" s="132"/>
    </row>
    <row r="53" spans="1:29" s="77" customFormat="1" ht="15" customHeight="1" x14ac:dyDescent="0.2">
      <c r="B53" s="134"/>
      <c r="C53" s="336" t="s">
        <v>256</v>
      </c>
      <c r="D53" s="336"/>
      <c r="E53" s="336"/>
      <c r="F53" s="337" t="s">
        <v>132</v>
      </c>
      <c r="G53" s="338"/>
      <c r="H53" s="134"/>
      <c r="P53" s="130"/>
      <c r="Q53" s="163"/>
      <c r="R53" s="163"/>
      <c r="S53" s="163"/>
      <c r="T53" s="163"/>
      <c r="U53" s="163"/>
      <c r="V53" s="87"/>
      <c r="W53" s="87"/>
      <c r="X53" s="87"/>
      <c r="Y53" s="87"/>
      <c r="Z53" s="87"/>
      <c r="AA53" s="87"/>
      <c r="AB53" s="87"/>
      <c r="AC53" s="87"/>
    </row>
    <row r="54" spans="1:29" ht="9.9499999999999993" customHeight="1" x14ac:dyDescent="0.2">
      <c r="P54" s="130"/>
      <c r="V54" s="132"/>
      <c r="W54" s="132"/>
      <c r="X54" s="132"/>
      <c r="Y54" s="132"/>
      <c r="Z54" s="132"/>
      <c r="AA54" s="132"/>
      <c r="AB54" s="132"/>
      <c r="AC54" s="132"/>
    </row>
    <row r="55" spans="1:29" ht="15" customHeight="1" x14ac:dyDescent="0.2">
      <c r="C55" s="272" t="s">
        <v>257</v>
      </c>
      <c r="D55" s="272"/>
      <c r="E55" s="272"/>
      <c r="F55" s="77" t="s">
        <v>287</v>
      </c>
      <c r="P55" s="130"/>
      <c r="V55" s="132"/>
      <c r="W55" s="132"/>
      <c r="X55" s="132"/>
      <c r="Y55" s="132"/>
      <c r="Z55" s="132"/>
      <c r="AA55" s="132"/>
      <c r="AB55" s="132"/>
      <c r="AC55" s="132"/>
    </row>
    <row r="56" spans="1:29" ht="9.9499999999999993" customHeight="1" x14ac:dyDescent="0.2">
      <c r="P56" s="130"/>
      <c r="V56" s="132"/>
      <c r="W56" s="132"/>
      <c r="X56" s="132"/>
      <c r="Y56" s="132"/>
      <c r="Z56" s="132"/>
      <c r="AA56" s="132"/>
      <c r="AB56" s="132"/>
      <c r="AC56" s="132"/>
    </row>
    <row r="57" spans="1:29" ht="15" customHeight="1" x14ac:dyDescent="0.2">
      <c r="C57" s="84" t="s">
        <v>258</v>
      </c>
      <c r="D57" s="83">
        <f>(D43*(D44-D45)*D41^2)/(18*D40)</f>
        <v>3.1387516244541476</v>
      </c>
      <c r="E57" s="163" t="s">
        <v>66</v>
      </c>
      <c r="P57" s="130"/>
      <c r="V57" s="132"/>
      <c r="W57" s="132"/>
      <c r="X57" s="132"/>
      <c r="Y57" s="132"/>
      <c r="Z57" s="132"/>
      <c r="AA57" s="132"/>
      <c r="AB57" s="132"/>
      <c r="AC57" s="132"/>
    </row>
    <row r="58" spans="1:29" ht="15" customHeight="1" x14ac:dyDescent="0.2">
      <c r="A58" s="163" t="s">
        <v>259</v>
      </c>
      <c r="D58" s="173">
        <v>2.1</v>
      </c>
      <c r="E58" s="90" t="s">
        <v>66</v>
      </c>
      <c r="F58" s="77" t="s">
        <v>287</v>
      </c>
      <c r="P58" s="130"/>
      <c r="V58" s="132"/>
      <c r="W58" s="132"/>
      <c r="X58" s="132"/>
      <c r="Y58" s="132"/>
      <c r="Z58" s="132"/>
      <c r="AA58" s="132"/>
      <c r="AB58" s="132"/>
      <c r="AC58" s="132"/>
    </row>
    <row r="59" spans="1:29" ht="15" customHeight="1" x14ac:dyDescent="0.2">
      <c r="A59" s="163" t="s">
        <v>275</v>
      </c>
      <c r="D59" s="83">
        <f>+D58*((D39+23.3)/33.3)</f>
        <v>2.4153153153153153</v>
      </c>
      <c r="E59" s="163" t="s">
        <v>66</v>
      </c>
    </row>
    <row r="60" spans="1:29" ht="9.9499999999999993" customHeight="1" x14ac:dyDescent="0.2">
      <c r="D60" s="89"/>
    </row>
    <row r="61" spans="1:29" ht="15" customHeight="1" x14ac:dyDescent="0.2">
      <c r="A61" s="77" t="s">
        <v>260</v>
      </c>
      <c r="B61" s="77"/>
      <c r="C61" s="77"/>
      <c r="D61" s="146">
        <f>(+D59+D57)/2</f>
        <v>2.7770334698847314</v>
      </c>
      <c r="E61" s="77" t="s">
        <v>66</v>
      </c>
    </row>
    <row r="62" spans="1:29" s="77" customFormat="1" ht="9.9499999999999993" customHeight="1" x14ac:dyDescent="0.2">
      <c r="B62" s="81"/>
      <c r="C62" s="81"/>
      <c r="D62" s="81"/>
      <c r="E62" s="81"/>
      <c r="F62" s="81"/>
      <c r="G62" s="81"/>
    </row>
    <row r="63" spans="1:29" ht="15" customHeight="1" x14ac:dyDescent="0.2">
      <c r="A63" s="279" t="s">
        <v>272</v>
      </c>
      <c r="B63" s="270"/>
      <c r="C63" s="270"/>
      <c r="D63" s="270"/>
      <c r="E63" s="270"/>
      <c r="F63" s="270"/>
      <c r="G63" s="270"/>
      <c r="H63" s="270"/>
      <c r="P63" s="130"/>
      <c r="V63" s="132"/>
      <c r="W63" s="132"/>
      <c r="X63" s="132"/>
      <c r="Y63" s="132"/>
      <c r="Z63" s="132"/>
      <c r="AA63" s="132"/>
      <c r="AB63" s="132"/>
      <c r="AC63" s="132"/>
    </row>
    <row r="64" spans="1:29" ht="9.9499999999999993" customHeight="1" x14ac:dyDescent="0.2">
      <c r="A64" s="77"/>
      <c r="P64" s="130"/>
      <c r="V64" s="132"/>
      <c r="W64" s="132"/>
      <c r="X64" s="132"/>
      <c r="Y64" s="132"/>
      <c r="Z64" s="132"/>
      <c r="AA64" s="132"/>
      <c r="AB64" s="132"/>
      <c r="AC64" s="132"/>
    </row>
    <row r="65" spans="1:29" ht="15" customHeight="1" x14ac:dyDescent="0.2">
      <c r="A65" s="77" t="s">
        <v>86</v>
      </c>
      <c r="B65" s="77"/>
      <c r="C65" s="77"/>
      <c r="D65" s="135"/>
      <c r="E65" s="77"/>
    </row>
    <row r="66" spans="1:29" ht="15" customHeight="1" x14ac:dyDescent="0.2">
      <c r="A66" s="163" t="s">
        <v>89</v>
      </c>
      <c r="C66" s="84" t="s">
        <v>90</v>
      </c>
      <c r="D66" s="133">
        <v>1.5</v>
      </c>
      <c r="E66" s="163" t="s">
        <v>54</v>
      </c>
    </row>
    <row r="67" spans="1:29" ht="15" customHeight="1" x14ac:dyDescent="0.2">
      <c r="A67" s="163" t="s">
        <v>91</v>
      </c>
      <c r="C67" s="84" t="s">
        <v>92</v>
      </c>
      <c r="D67" s="133">
        <v>0.9</v>
      </c>
      <c r="E67" s="163" t="s">
        <v>54</v>
      </c>
    </row>
    <row r="68" spans="1:29" ht="15" customHeight="1" x14ac:dyDescent="0.2">
      <c r="A68" s="163" t="s">
        <v>93</v>
      </c>
      <c r="C68" s="84" t="s">
        <v>94</v>
      </c>
      <c r="D68" s="133">
        <v>0.8</v>
      </c>
      <c r="E68" s="163" t="s">
        <v>54</v>
      </c>
    </row>
    <row r="69" spans="1:29" ht="15" customHeight="1" x14ac:dyDescent="0.2">
      <c r="A69" s="86" t="s">
        <v>96</v>
      </c>
      <c r="B69" s="84"/>
      <c r="C69" s="84" t="s">
        <v>95</v>
      </c>
      <c r="D69" s="85">
        <f>+D68*D67*D66</f>
        <v>1.08</v>
      </c>
      <c r="E69" s="163" t="s">
        <v>261</v>
      </c>
      <c r="F69" s="89"/>
    </row>
    <row r="70" spans="1:29" ht="9.9499999999999993" customHeight="1" x14ac:dyDescent="0.2">
      <c r="A70" s="86"/>
      <c r="B70" s="84"/>
      <c r="C70" s="84"/>
      <c r="D70" s="83"/>
      <c r="F70" s="89"/>
    </row>
    <row r="71" spans="1:29" ht="15" customHeight="1" x14ac:dyDescent="0.2">
      <c r="A71" s="77" t="s">
        <v>97</v>
      </c>
      <c r="B71" s="77"/>
      <c r="C71" s="77"/>
      <c r="D71" s="147">
        <f>+D66*100/D61</f>
        <v>54.014473223553253</v>
      </c>
      <c r="E71" s="77" t="s">
        <v>67</v>
      </c>
    </row>
    <row r="72" spans="1:29" s="77" customFormat="1" ht="9.9499999999999993" customHeight="1" x14ac:dyDescent="0.2">
      <c r="B72" s="81"/>
      <c r="C72" s="81"/>
      <c r="D72" s="81"/>
      <c r="E72" s="81"/>
      <c r="F72" s="81"/>
      <c r="G72" s="81"/>
    </row>
    <row r="73" spans="1:29" ht="15" customHeight="1" x14ac:dyDescent="0.2">
      <c r="A73" s="279" t="s">
        <v>273</v>
      </c>
      <c r="B73" s="270"/>
      <c r="C73" s="270"/>
      <c r="D73" s="270"/>
      <c r="E73" s="270"/>
      <c r="F73" s="270"/>
      <c r="G73" s="270"/>
      <c r="H73" s="270"/>
      <c r="P73" s="130"/>
      <c r="V73" s="132"/>
      <c r="W73" s="132"/>
      <c r="X73" s="132"/>
      <c r="Y73" s="132"/>
      <c r="Z73" s="132"/>
      <c r="AA73" s="132"/>
      <c r="AB73" s="132"/>
      <c r="AC73" s="132"/>
    </row>
    <row r="74" spans="1:29" ht="9.9499999999999993" customHeight="1" x14ac:dyDescent="0.2">
      <c r="A74" s="77"/>
      <c r="P74" s="130"/>
      <c r="V74" s="132"/>
      <c r="W74" s="132"/>
      <c r="X74" s="132"/>
      <c r="Y74" s="132"/>
      <c r="Z74" s="132"/>
      <c r="AA74" s="132"/>
      <c r="AB74" s="132"/>
      <c r="AC74" s="132"/>
    </row>
    <row r="75" spans="1:29" ht="15" customHeight="1" x14ac:dyDescent="0.2">
      <c r="C75" s="136" t="s">
        <v>85</v>
      </c>
      <c r="D75" s="137">
        <v>2</v>
      </c>
    </row>
    <row r="76" spans="1:29" ht="15" customHeight="1" x14ac:dyDescent="0.2">
      <c r="A76" s="138" t="s">
        <v>81</v>
      </c>
      <c r="D76" s="109">
        <v>1</v>
      </c>
    </row>
    <row r="77" spans="1:29" ht="15" customHeight="1" x14ac:dyDescent="0.2">
      <c r="A77" s="138" t="s">
        <v>83</v>
      </c>
      <c r="D77" s="109">
        <v>2</v>
      </c>
    </row>
    <row r="78" spans="1:29" ht="15" customHeight="1" x14ac:dyDescent="0.2">
      <c r="A78" s="138" t="s">
        <v>84</v>
      </c>
      <c r="D78" s="109">
        <v>3</v>
      </c>
    </row>
    <row r="79" spans="1:29" ht="15" customHeight="1" x14ac:dyDescent="0.2">
      <c r="A79" s="163" t="s">
        <v>133</v>
      </c>
      <c r="D79" s="83"/>
      <c r="E79" s="84"/>
      <c r="F79" s="86">
        <f>IF(H79=87.5,LOOKUP(D75,'Viscosidad, Numero Hazen'!B40:B42,'Viscosidad, Numero Hazen'!C40:C42),LOOKUP(D75,'Viscosidad, Numero Hazen'!B40:B42,'Viscosidad, Numero Hazen'!D40:D42))</f>
        <v>2.75</v>
      </c>
      <c r="G79" s="84" t="s">
        <v>80</v>
      </c>
      <c r="H79" s="148">
        <f>+D42</f>
        <v>87.5</v>
      </c>
    </row>
    <row r="80" spans="1:29" ht="9.9499999999999993" customHeight="1" x14ac:dyDescent="0.2">
      <c r="D80" s="83"/>
      <c r="E80" s="84"/>
      <c r="F80" s="86"/>
      <c r="G80" s="84"/>
      <c r="H80" s="86"/>
    </row>
    <row r="81" spans="1:29" ht="15" customHeight="1" x14ac:dyDescent="0.2">
      <c r="A81" s="139" t="s">
        <v>79</v>
      </c>
      <c r="B81" s="140"/>
      <c r="C81" s="140"/>
      <c r="D81" s="263">
        <v>20</v>
      </c>
      <c r="E81" s="175" t="s">
        <v>118</v>
      </c>
      <c r="F81" s="339" t="str">
        <f>+IF(D81&gt;=20,"OK, cumple Resolución 1096, artículo 109 del RAS/2.000","No cumple Resolución 1096, artículo 109 del RAS/2.000 (a &gt; 20 min)")</f>
        <v>OK, cumple Resolución 1096, artículo 109 del RAS/2.000</v>
      </c>
      <c r="G81" s="339"/>
      <c r="H81" s="339"/>
    </row>
    <row r="82" spans="1:29" ht="15" customHeight="1" x14ac:dyDescent="0.2">
      <c r="D82" s="264" t="s">
        <v>315</v>
      </c>
      <c r="E82" s="90"/>
      <c r="F82" s="339"/>
      <c r="G82" s="339"/>
      <c r="H82" s="339"/>
    </row>
    <row r="83" spans="1:29" s="77" customFormat="1" ht="9.9499999999999993" customHeight="1" x14ac:dyDescent="0.2">
      <c r="B83" s="81"/>
      <c r="C83" s="81"/>
      <c r="D83" s="265"/>
      <c r="E83" s="81"/>
      <c r="F83" s="81"/>
      <c r="G83" s="81"/>
    </row>
    <row r="84" spans="1:29" ht="15" customHeight="1" x14ac:dyDescent="0.2">
      <c r="A84" s="279" t="s">
        <v>276</v>
      </c>
      <c r="B84" s="270"/>
      <c r="C84" s="270"/>
      <c r="D84" s="270"/>
      <c r="E84" s="270"/>
      <c r="F84" s="270"/>
      <c r="G84" s="270"/>
      <c r="H84" s="270"/>
      <c r="P84" s="130"/>
      <c r="V84" s="132"/>
      <c r="W84" s="132"/>
      <c r="X84" s="132"/>
      <c r="Y84" s="132"/>
      <c r="Z84" s="132"/>
      <c r="AA84" s="132"/>
      <c r="AB84" s="132"/>
      <c r="AC84" s="132"/>
    </row>
    <row r="85" spans="1:29" ht="9.9499999999999993" customHeight="1" x14ac:dyDescent="0.2">
      <c r="A85" s="77"/>
      <c r="P85" s="130"/>
      <c r="V85" s="132"/>
      <c r="W85" s="132"/>
      <c r="X85" s="132"/>
      <c r="Y85" s="132"/>
      <c r="Z85" s="132"/>
      <c r="AA85" s="132"/>
      <c r="AB85" s="132"/>
      <c r="AC85" s="132"/>
    </row>
    <row r="86" spans="1:29" ht="15" customHeight="1" x14ac:dyDescent="0.2">
      <c r="C86" s="167" t="s">
        <v>123</v>
      </c>
      <c r="E86" s="136" t="s">
        <v>274</v>
      </c>
      <c r="F86" s="114">
        <f>ROUND((1000*D69/D81/60),1)</f>
        <v>0.9</v>
      </c>
      <c r="G86" s="77" t="s">
        <v>129</v>
      </c>
    </row>
    <row r="87" spans="1:29" ht="9.9499999999999993" customHeight="1" x14ac:dyDescent="0.2">
      <c r="D87" s="89"/>
    </row>
    <row r="88" spans="1:29" ht="30" customHeight="1" x14ac:dyDescent="0.2">
      <c r="A88" s="335"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0,9L/s.</v>
      </c>
      <c r="B88" s="335"/>
      <c r="C88" s="335"/>
      <c r="D88" s="335"/>
      <c r="E88" s="335"/>
      <c r="F88" s="335"/>
      <c r="G88" s="335"/>
      <c r="H88" s="335"/>
    </row>
    <row r="89" spans="1:29" s="77" customFormat="1" ht="9.9499999999999993" customHeight="1" x14ac:dyDescent="0.2">
      <c r="B89" s="81"/>
      <c r="C89" s="81"/>
      <c r="D89" s="81"/>
      <c r="E89" s="81"/>
      <c r="F89" s="81"/>
      <c r="G89" s="81"/>
    </row>
    <row r="90" spans="1:29" ht="15" customHeight="1" x14ac:dyDescent="0.2">
      <c r="A90" s="279" t="s">
        <v>277</v>
      </c>
      <c r="B90" s="270"/>
      <c r="C90" s="270"/>
      <c r="D90" s="270"/>
      <c r="E90" s="270"/>
      <c r="F90" s="270"/>
      <c r="G90" s="270"/>
      <c r="H90" s="270"/>
      <c r="P90" s="130"/>
      <c r="V90" s="132"/>
      <c r="W90" s="132"/>
      <c r="X90" s="132"/>
      <c r="Y90" s="132"/>
      <c r="Z90" s="132"/>
      <c r="AA90" s="132"/>
      <c r="AB90" s="132"/>
      <c r="AC90" s="132"/>
    </row>
    <row r="91" spans="1:29" ht="9.9499999999999993" customHeight="1" x14ac:dyDescent="0.2">
      <c r="A91" s="77"/>
      <c r="P91" s="130"/>
      <c r="V91" s="132"/>
      <c r="W91" s="132"/>
      <c r="X91" s="132"/>
      <c r="Y91" s="132"/>
      <c r="Z91" s="132"/>
      <c r="AA91" s="132"/>
      <c r="AB91" s="132"/>
      <c r="AC91" s="132"/>
    </row>
    <row r="92" spans="1:29" ht="15" customHeight="1" x14ac:dyDescent="0.2">
      <c r="C92" s="336" t="s">
        <v>262</v>
      </c>
      <c r="D92" s="336"/>
      <c r="E92" s="336"/>
    </row>
    <row r="93" spans="1:29" ht="9.9499999999999993" customHeight="1" x14ac:dyDescent="0.2">
      <c r="A93" s="77"/>
      <c r="P93" s="130"/>
      <c r="V93" s="132"/>
      <c r="W93" s="132"/>
      <c r="X93" s="132"/>
      <c r="Y93" s="132"/>
      <c r="Z93" s="132"/>
      <c r="AA93" s="132"/>
      <c r="AB93" s="132"/>
      <c r="AC93" s="132"/>
    </row>
    <row r="94" spans="1:29" ht="15" customHeight="1" x14ac:dyDescent="0.2">
      <c r="A94" s="84" t="s">
        <v>88</v>
      </c>
      <c r="C94" s="136" t="s">
        <v>263</v>
      </c>
      <c r="D94" s="154">
        <f>+D95/(1000*D96*D97)</f>
        <v>7.5000000000000002E-4</v>
      </c>
      <c r="E94" s="77" t="s">
        <v>122</v>
      </c>
      <c r="F94" s="77" t="str">
        <f>+IF(D94&lt;0.25,"Ok, cumple","No cumple")</f>
        <v>Ok, cumple</v>
      </c>
    </row>
    <row r="95" spans="1:29" ht="15" customHeight="1" x14ac:dyDescent="0.2">
      <c r="C95" s="84" t="s">
        <v>119</v>
      </c>
      <c r="D95" s="150">
        <f>+F86</f>
        <v>0.9</v>
      </c>
      <c r="E95" s="163" t="s">
        <v>129</v>
      </c>
      <c r="F95" s="163" t="s">
        <v>264</v>
      </c>
      <c r="G95" s="86" t="s">
        <v>191</v>
      </c>
    </row>
    <row r="96" spans="1:29" ht="15" customHeight="1" x14ac:dyDescent="0.2">
      <c r="C96" s="84" t="s">
        <v>120</v>
      </c>
      <c r="D96" s="88">
        <f>+D68</f>
        <v>0.8</v>
      </c>
      <c r="E96" s="163" t="s">
        <v>54</v>
      </c>
    </row>
    <row r="97" spans="1:29" ht="15" customHeight="1" x14ac:dyDescent="0.2">
      <c r="C97" s="84" t="s">
        <v>121</v>
      </c>
      <c r="D97" s="88">
        <f>+D66</f>
        <v>1.5</v>
      </c>
      <c r="E97" s="163" t="s">
        <v>54</v>
      </c>
    </row>
    <row r="98" spans="1:29" ht="9.9499999999999993" customHeight="1" x14ac:dyDescent="0.2">
      <c r="D98" s="109"/>
    </row>
    <row r="99" spans="1:29" ht="15" customHeight="1" x14ac:dyDescent="0.2">
      <c r="A99" s="77" t="s">
        <v>265</v>
      </c>
      <c r="C99" s="84"/>
      <c r="D99" s="141" t="s">
        <v>266</v>
      </c>
      <c r="E99" s="88">
        <f>+ROUND((D94/(D61/100)),4)</f>
        <v>2.7E-2</v>
      </c>
      <c r="F99" s="77" t="str">
        <f>+IF(E99&lt;20,"Cumple","No cumple")</f>
        <v>Cumple</v>
      </c>
    </row>
    <row r="100" spans="1:29" ht="15" customHeight="1" x14ac:dyDescent="0.2">
      <c r="D100" s="109"/>
      <c r="F100" s="163" t="s">
        <v>267</v>
      </c>
      <c r="G100" s="163" t="s">
        <v>192</v>
      </c>
    </row>
    <row r="101" spans="1:29" ht="9.9499999999999993" customHeight="1" x14ac:dyDescent="0.2">
      <c r="D101" s="89"/>
    </row>
    <row r="102" spans="1:29" ht="54.95" customHeight="1" x14ac:dyDescent="0.2">
      <c r="A102" s="335"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0,001m/s, es inferior a la máxima recomendada (VH &lt; 0,25m/s). De otro lado, la relación entre velocidades (Rv), tiene un valor de 0,027, cumpliendo con lo especificado en el RAS/2000 (RV &lt; 20).</v>
      </c>
      <c r="B102" s="335"/>
      <c r="C102" s="335"/>
      <c r="D102" s="335"/>
      <c r="E102" s="335"/>
      <c r="F102" s="335"/>
      <c r="G102" s="335"/>
      <c r="H102" s="335"/>
    </row>
    <row r="103" spans="1:29" s="77" customFormat="1" ht="9.9499999999999993" customHeight="1" x14ac:dyDescent="0.2">
      <c r="B103" s="81"/>
      <c r="C103" s="81"/>
      <c r="D103" s="81"/>
      <c r="E103" s="81"/>
      <c r="F103" s="81"/>
      <c r="G103" s="81"/>
    </row>
    <row r="104" spans="1:29" ht="15" customHeight="1" x14ac:dyDescent="0.2">
      <c r="A104" s="279" t="s">
        <v>278</v>
      </c>
      <c r="B104" s="270"/>
      <c r="C104" s="270"/>
      <c r="D104" s="270"/>
      <c r="E104" s="270"/>
      <c r="F104" s="270"/>
      <c r="G104" s="270"/>
      <c r="H104" s="270"/>
      <c r="P104" s="130"/>
      <c r="V104" s="132"/>
      <c r="W104" s="132"/>
      <c r="X104" s="132"/>
      <c r="Y104" s="132"/>
      <c r="Z104" s="132"/>
      <c r="AA104" s="132"/>
      <c r="AB104" s="132"/>
      <c r="AC104" s="132"/>
    </row>
    <row r="105" spans="1:29" ht="9.9499999999999993" customHeight="1" x14ac:dyDescent="0.2">
      <c r="A105" s="77"/>
      <c r="P105" s="130"/>
      <c r="V105" s="132"/>
      <c r="W105" s="132"/>
      <c r="X105" s="132"/>
      <c r="Y105" s="132"/>
      <c r="Z105" s="132"/>
      <c r="AA105" s="132"/>
      <c r="AB105" s="132"/>
      <c r="AC105" s="132"/>
    </row>
    <row r="106" spans="1:29" s="77" customFormat="1" ht="15" customHeight="1" x14ac:dyDescent="0.2">
      <c r="B106" s="81"/>
      <c r="C106" s="336" t="s">
        <v>286</v>
      </c>
      <c r="D106" s="336"/>
      <c r="E106" s="336"/>
      <c r="F106" s="163"/>
      <c r="G106" s="81"/>
    </row>
    <row r="107" spans="1:29" ht="9.9499999999999993" customHeight="1" x14ac:dyDescent="0.2">
      <c r="A107" s="77"/>
      <c r="P107" s="130"/>
      <c r="V107" s="132"/>
      <c r="W107" s="132"/>
      <c r="X107" s="132"/>
      <c r="Y107" s="132"/>
      <c r="Z107" s="132"/>
      <c r="AA107" s="132"/>
      <c r="AB107" s="132"/>
      <c r="AC107" s="132"/>
    </row>
    <row r="108" spans="1:29" ht="15" customHeight="1" x14ac:dyDescent="0.2">
      <c r="A108" s="84" t="s">
        <v>88</v>
      </c>
      <c r="C108" s="136" t="s">
        <v>279</v>
      </c>
      <c r="D108" s="155">
        <f>ROUND((125*((D110-1)*D111)^0.5),1)</f>
        <v>22.7</v>
      </c>
      <c r="E108" s="77" t="s">
        <v>134</v>
      </c>
    </row>
    <row r="109" spans="1:29" ht="15" customHeight="1" x14ac:dyDescent="0.2">
      <c r="A109" s="164"/>
      <c r="C109" s="136" t="s">
        <v>279</v>
      </c>
      <c r="D109" s="98">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5">
        <f>+D41</f>
        <v>0.02</v>
      </c>
      <c r="E111" s="163" t="s">
        <v>64</v>
      </c>
      <c r="F111" s="77"/>
    </row>
    <row r="112" spans="1:29" ht="9.9499999999999993" customHeight="1" x14ac:dyDescent="0.2">
      <c r="C112" s="84"/>
      <c r="D112" s="149"/>
      <c r="F112" s="77"/>
    </row>
    <row r="113" spans="1:29" ht="30" customHeight="1" x14ac:dyDescent="0.2">
      <c r="A113" s="335"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35"/>
      <c r="C113" s="335"/>
      <c r="D113" s="335"/>
      <c r="E113" s="335"/>
      <c r="F113" s="335"/>
      <c r="G113" s="335"/>
      <c r="H113" s="335"/>
    </row>
    <row r="114" spans="1:29" s="77" customFormat="1" ht="9.9499999999999993" customHeight="1" x14ac:dyDescent="0.2">
      <c r="B114" s="81"/>
      <c r="C114" s="81"/>
      <c r="D114" s="81"/>
      <c r="E114" s="81"/>
      <c r="F114" s="81"/>
      <c r="G114" s="81"/>
    </row>
    <row r="115" spans="1:29" ht="15" customHeight="1" x14ac:dyDescent="0.2">
      <c r="A115" s="279" t="s">
        <v>280</v>
      </c>
      <c r="B115" s="270"/>
      <c r="C115" s="270"/>
      <c r="D115" s="270"/>
      <c r="E115" s="270"/>
      <c r="F115" s="270"/>
      <c r="G115" s="270"/>
      <c r="H115" s="270"/>
      <c r="P115" s="130"/>
      <c r="V115" s="132"/>
      <c r="W115" s="132"/>
      <c r="X115" s="132"/>
      <c r="Y115" s="132"/>
      <c r="Z115" s="132"/>
      <c r="AA115" s="132"/>
      <c r="AB115" s="132"/>
      <c r="AC115" s="132"/>
    </row>
    <row r="116" spans="1:29" ht="9.9499999999999993" customHeight="1" x14ac:dyDescent="0.2">
      <c r="A116" s="77"/>
      <c r="P116" s="130"/>
      <c r="V116" s="132"/>
      <c r="W116" s="132"/>
      <c r="X116" s="132"/>
      <c r="Y116" s="132"/>
      <c r="Z116" s="132"/>
      <c r="AA116" s="132"/>
      <c r="AB116" s="132"/>
      <c r="AC116" s="132"/>
    </row>
    <row r="117" spans="1:29" s="77" customFormat="1" ht="15" customHeight="1" x14ac:dyDescent="0.2">
      <c r="B117" s="81"/>
      <c r="C117" s="336" t="s">
        <v>285</v>
      </c>
      <c r="D117" s="336"/>
      <c r="E117" s="336"/>
      <c r="F117" s="91"/>
      <c r="G117" s="81"/>
    </row>
    <row r="118" spans="1:29" ht="9.9499999999999993" customHeight="1" x14ac:dyDescent="0.2">
      <c r="A118" s="77"/>
      <c r="P118" s="130"/>
      <c r="V118" s="132"/>
      <c r="W118" s="132"/>
      <c r="X118" s="132"/>
      <c r="Y118" s="132"/>
      <c r="Z118" s="132"/>
      <c r="AA118" s="132"/>
      <c r="AB118" s="132"/>
      <c r="AC118" s="132"/>
    </row>
    <row r="119" spans="1:29" ht="15" customHeight="1" x14ac:dyDescent="0.2">
      <c r="C119" s="84" t="s">
        <v>107</v>
      </c>
      <c r="D119" s="84" t="s">
        <v>106</v>
      </c>
      <c r="E119" s="163" t="s">
        <v>111</v>
      </c>
    </row>
    <row r="120" spans="1:29" ht="15" customHeight="1" x14ac:dyDescent="0.2">
      <c r="D120" s="84" t="s">
        <v>108</v>
      </c>
      <c r="E120" s="163" t="s">
        <v>113</v>
      </c>
    </row>
    <row r="121" spans="1:29" ht="15" customHeight="1" x14ac:dyDescent="0.2">
      <c r="D121" s="84" t="s">
        <v>109</v>
      </c>
      <c r="E121" s="163" t="s">
        <v>112</v>
      </c>
    </row>
    <row r="122" spans="1:29" ht="15" customHeight="1" x14ac:dyDescent="0.2">
      <c r="D122" s="84" t="s">
        <v>110</v>
      </c>
      <c r="E122" s="163" t="s">
        <v>268</v>
      </c>
    </row>
    <row r="123" spans="1:29" ht="9.9499999999999993" customHeight="1" x14ac:dyDescent="0.2"/>
    <row r="124" spans="1:29" ht="15" customHeight="1" x14ac:dyDescent="0.2">
      <c r="C124" s="143" t="s">
        <v>106</v>
      </c>
      <c r="D124" s="153">
        <f>+ROUND((D41*D61/D40),2)</f>
        <v>4.8499999999999996</v>
      </c>
      <c r="E124" s="101" t="str">
        <f>+IF(D124&lt; 4,"Ok, cumple Flujo en Transición; Re &lt; 4","No Cumple Flujo en Transición; Re &lt; 4")</f>
        <v>No Cumple Flujo en Transición; Re &lt; 4</v>
      </c>
    </row>
    <row r="125" spans="1:29" ht="9.9499999999999993" customHeight="1" x14ac:dyDescent="0.2">
      <c r="C125" s="143"/>
      <c r="D125" s="144"/>
      <c r="E125" s="101"/>
    </row>
    <row r="126" spans="1:29" ht="45" customHeight="1" x14ac:dyDescent="0.2">
      <c r="A126" s="335"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4,85, el cual NO cumple con las recomendaciones para dicho parámetro de evaluación (Re &lt; 0,50).</v>
      </c>
      <c r="B126" s="335"/>
      <c r="C126" s="335"/>
      <c r="D126" s="335"/>
      <c r="E126" s="335"/>
      <c r="F126" s="335"/>
      <c r="G126" s="335"/>
      <c r="H126" s="335"/>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9" s="77" customFormat="1" ht="9.9499999999999993" customHeight="1" x14ac:dyDescent="0.2">
      <c r="B127" s="81"/>
      <c r="C127" s="81"/>
      <c r="D127" s="81"/>
      <c r="E127" s="81"/>
      <c r="F127" s="81"/>
      <c r="G127" s="81"/>
    </row>
    <row r="128" spans="1:29" ht="15" customHeight="1" x14ac:dyDescent="0.2">
      <c r="A128" s="279" t="s">
        <v>288</v>
      </c>
      <c r="B128" s="279"/>
      <c r="C128" s="279"/>
      <c r="D128" s="279"/>
      <c r="E128" s="279"/>
      <c r="F128" s="279"/>
      <c r="G128" s="279"/>
      <c r="H128" s="279"/>
      <c r="P128" s="130"/>
      <c r="V128" s="132"/>
      <c r="W128" s="132"/>
      <c r="X128" s="132"/>
      <c r="Y128" s="132"/>
      <c r="Z128" s="132"/>
      <c r="AA128" s="132"/>
      <c r="AB128" s="132"/>
      <c r="AC128" s="132"/>
    </row>
    <row r="129" spans="1:29" s="77" customFormat="1" ht="9" customHeight="1" x14ac:dyDescent="0.2">
      <c r="B129" s="81"/>
      <c r="C129" s="81"/>
      <c r="D129" s="81"/>
      <c r="E129" s="81"/>
      <c r="F129" s="81"/>
      <c r="G129" s="81"/>
    </row>
    <row r="130" spans="1:29" s="77" customFormat="1" ht="30" customHeight="1" x14ac:dyDescent="0.2">
      <c r="A130" s="270" t="s">
        <v>281</v>
      </c>
      <c r="B130" s="270"/>
      <c r="C130" s="270"/>
      <c r="D130" s="270"/>
      <c r="E130" s="270"/>
      <c r="F130" s="270"/>
      <c r="G130" s="270"/>
      <c r="H130" s="270"/>
    </row>
    <row r="131" spans="1:29" s="77" customFormat="1" ht="9.9499999999999993" customHeight="1" x14ac:dyDescent="0.2">
      <c r="A131" s="86"/>
      <c r="B131" s="81"/>
      <c r="C131" s="81"/>
      <c r="D131" s="81"/>
      <c r="E131" s="81"/>
      <c r="F131" s="81"/>
      <c r="G131" s="81"/>
    </row>
    <row r="132" spans="1:29" s="77" customFormat="1" ht="15" customHeight="1" x14ac:dyDescent="0.2">
      <c r="B132" s="165"/>
      <c r="C132" s="276" t="s">
        <v>213</v>
      </c>
      <c r="D132" s="276"/>
      <c r="E132" s="276"/>
      <c r="F132" s="165"/>
      <c r="G132" s="165"/>
    </row>
    <row r="133" spans="1:29" s="77" customFormat="1" ht="9.9499999999999993" customHeight="1" x14ac:dyDescent="0.2">
      <c r="A133" s="270"/>
      <c r="B133" s="270"/>
      <c r="C133" s="270"/>
      <c r="D133" s="270"/>
      <c r="E133" s="270"/>
      <c r="F133" s="270"/>
      <c r="G133" s="270"/>
    </row>
    <row r="134" spans="1:29" s="77" customFormat="1" ht="15" customHeight="1" x14ac:dyDescent="0.2">
      <c r="A134" s="163" t="s">
        <v>88</v>
      </c>
      <c r="B134" s="81"/>
      <c r="C134" s="81"/>
      <c r="D134" s="81"/>
      <c r="E134" s="81"/>
      <c r="F134" s="81"/>
      <c r="G134" s="81"/>
    </row>
    <row r="135" spans="1:29" s="77" customFormat="1" ht="15" customHeight="1" x14ac:dyDescent="0.2">
      <c r="A135" s="163" t="s">
        <v>202</v>
      </c>
      <c r="B135" s="81"/>
      <c r="C135" s="81"/>
      <c r="D135" s="150">
        <f>+F86</f>
        <v>0.9</v>
      </c>
      <c r="E135" s="86" t="s">
        <v>129</v>
      </c>
      <c r="F135" s="86"/>
      <c r="G135" s="86"/>
    </row>
    <row r="136" spans="1:29" s="77" customFormat="1" ht="15" customHeight="1" x14ac:dyDescent="0.2">
      <c r="A136" s="163" t="s">
        <v>202</v>
      </c>
      <c r="B136" s="81"/>
      <c r="C136" s="81"/>
      <c r="D136" s="151">
        <f>+D135/1000</f>
        <v>8.9999999999999998E-4</v>
      </c>
      <c r="E136" s="86" t="s">
        <v>203</v>
      </c>
      <c r="F136" s="86"/>
      <c r="G136" s="86"/>
    </row>
    <row r="137" spans="1:29" s="77" customFormat="1" ht="15" customHeight="1" x14ac:dyDescent="0.2">
      <c r="A137" s="163" t="s">
        <v>57</v>
      </c>
      <c r="B137" s="81"/>
      <c r="C137" s="81"/>
      <c r="D137" s="96">
        <f>+D68</f>
        <v>0.8</v>
      </c>
      <c r="E137" s="86" t="s">
        <v>54</v>
      </c>
      <c r="F137" s="86"/>
      <c r="G137" s="86"/>
    </row>
    <row r="138" spans="1:29" s="77" customFormat="1" ht="15" customHeight="1" x14ac:dyDescent="0.2">
      <c r="A138" s="163" t="s">
        <v>289</v>
      </c>
      <c r="B138" s="81"/>
      <c r="C138" s="81"/>
      <c r="D138" s="153">
        <f>+ROUND(((D136/(1.84*D137))^(2/3)),2)</f>
        <v>0.01</v>
      </c>
      <c r="E138" s="94" t="s">
        <v>54</v>
      </c>
      <c r="F138" s="86"/>
      <c r="G138" s="86"/>
    </row>
    <row r="139" spans="1:29" s="77" customFormat="1" ht="9.9499999999999993" customHeight="1" x14ac:dyDescent="0.2">
      <c r="A139" s="163"/>
      <c r="B139" s="81"/>
      <c r="C139" s="81"/>
      <c r="D139" s="97"/>
      <c r="E139" s="94"/>
      <c r="F139" s="86"/>
      <c r="G139" s="86"/>
    </row>
    <row r="140" spans="1:29" s="77" customFormat="1" ht="30" customHeight="1" x14ac:dyDescent="0.2">
      <c r="A140" s="270"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0,9L/s de capacidad de tratamiento, se requiere una lámina de agua equivalente a 0,01m.</v>
      </c>
      <c r="B140" s="270"/>
      <c r="C140" s="270"/>
      <c r="D140" s="270"/>
      <c r="E140" s="270"/>
      <c r="F140" s="270"/>
      <c r="G140" s="270"/>
      <c r="H140" s="270"/>
    </row>
    <row r="141" spans="1:29" s="77" customFormat="1" ht="8.1" customHeight="1" x14ac:dyDescent="0.2">
      <c r="B141" s="81"/>
      <c r="C141" s="81"/>
      <c r="D141" s="81"/>
      <c r="E141" s="81"/>
      <c r="F141" s="81"/>
      <c r="G141" s="81"/>
    </row>
    <row r="142" spans="1:29" ht="15" customHeight="1" x14ac:dyDescent="0.2">
      <c r="A142" s="279" t="s">
        <v>305</v>
      </c>
      <c r="B142" s="279"/>
      <c r="C142" s="279"/>
      <c r="D142" s="279"/>
      <c r="E142" s="279"/>
      <c r="F142" s="279"/>
      <c r="G142" s="279"/>
      <c r="H142" s="279"/>
      <c r="P142" s="130"/>
      <c r="V142" s="132"/>
      <c r="W142" s="132"/>
      <c r="X142" s="132"/>
      <c r="Y142" s="132"/>
      <c r="Z142" s="132"/>
      <c r="AA142" s="132"/>
      <c r="AB142" s="132"/>
      <c r="AC142" s="132"/>
    </row>
    <row r="143" spans="1:29" s="77" customFormat="1" ht="8.1" customHeight="1" x14ac:dyDescent="0.2">
      <c r="B143" s="81"/>
      <c r="C143" s="81"/>
      <c r="D143" s="81"/>
      <c r="E143" s="81"/>
      <c r="F143" s="81"/>
      <c r="G143" s="81"/>
    </row>
    <row r="144" spans="1:29" s="77" customFormat="1" ht="30" customHeight="1" x14ac:dyDescent="0.2">
      <c r="A144" s="270" t="s">
        <v>306</v>
      </c>
      <c r="B144" s="270"/>
      <c r="C144" s="270"/>
      <c r="D144" s="270"/>
      <c r="E144" s="270"/>
      <c r="F144" s="270"/>
      <c r="G144" s="270"/>
      <c r="H144" s="270"/>
    </row>
    <row r="145" spans="1:29" s="77" customFormat="1" ht="8.1" customHeight="1" x14ac:dyDescent="0.2">
      <c r="B145" s="81"/>
      <c r="C145" s="81"/>
      <c r="D145" s="81"/>
      <c r="E145" s="81"/>
      <c r="F145" s="81"/>
      <c r="G145" s="81"/>
    </row>
    <row r="146" spans="1:29" s="77" customFormat="1" ht="15" customHeight="1" x14ac:dyDescent="0.2">
      <c r="A146" s="276" t="s">
        <v>307</v>
      </c>
      <c r="B146" s="276"/>
      <c r="C146" s="276"/>
      <c r="D146" s="276"/>
      <c r="E146" s="276"/>
      <c r="F146" s="276"/>
      <c r="G146" s="276"/>
      <c r="H146" s="276"/>
    </row>
    <row r="147" spans="1:29" s="77" customFormat="1" ht="8.1" customHeight="1" x14ac:dyDescent="0.2">
      <c r="B147" s="81"/>
      <c r="C147" s="81"/>
      <c r="D147" s="81"/>
      <c r="E147" s="81"/>
      <c r="F147" s="81"/>
      <c r="G147" s="81"/>
    </row>
    <row r="148" spans="1:29" s="90" customFormat="1" ht="15" customHeight="1" x14ac:dyDescent="0.2">
      <c r="A148" s="106" t="s">
        <v>308</v>
      </c>
      <c r="D148" s="161">
        <v>0.75</v>
      </c>
      <c r="E148" s="90" t="s">
        <v>292</v>
      </c>
    </row>
    <row r="149" spans="1:29" s="90" customFormat="1" ht="15" customHeight="1" x14ac:dyDescent="0.2">
      <c r="A149" s="106" t="s">
        <v>308</v>
      </c>
      <c r="D149" s="105">
        <f>+D148*0.0254</f>
        <v>1.9049999999999997E-2</v>
      </c>
      <c r="E149" s="90" t="s">
        <v>54</v>
      </c>
    </row>
    <row r="150" spans="1:29" s="90" customFormat="1" ht="15" customHeight="1" x14ac:dyDescent="0.2">
      <c r="A150" s="106" t="s">
        <v>309</v>
      </c>
      <c r="D150" s="174">
        <f>+ROUND((PI()*(D149^2)/4),5)</f>
        <v>2.9E-4</v>
      </c>
      <c r="E150" s="90" t="s">
        <v>206</v>
      </c>
    </row>
    <row r="151" spans="1:29" s="90" customFormat="1" ht="15" customHeight="1" x14ac:dyDescent="0.2">
      <c r="A151" s="106" t="s">
        <v>301</v>
      </c>
      <c r="D151" s="158">
        <v>15</v>
      </c>
    </row>
    <row r="152" spans="1:29" s="90" customFormat="1" ht="15" customHeight="1" x14ac:dyDescent="0.2">
      <c r="A152" s="106" t="s">
        <v>310</v>
      </c>
      <c r="D152" s="157">
        <f>+F86</f>
        <v>0.9</v>
      </c>
      <c r="E152" s="90" t="s">
        <v>129</v>
      </c>
    </row>
    <row r="153" spans="1:29" s="90" customFormat="1" ht="15" customHeight="1" x14ac:dyDescent="0.2">
      <c r="A153" s="106" t="s">
        <v>311</v>
      </c>
      <c r="D153" s="157">
        <f>+D152/D151</f>
        <v>6.0000000000000005E-2</v>
      </c>
      <c r="E153" s="90" t="s">
        <v>129</v>
      </c>
    </row>
    <row r="154" spans="1:29" s="90" customFormat="1" ht="15" customHeight="1" x14ac:dyDescent="0.2">
      <c r="A154" s="106" t="s">
        <v>312</v>
      </c>
      <c r="D154" s="160">
        <f>ROUND(((D153/1000)/D150),2)</f>
        <v>0.21</v>
      </c>
      <c r="E154" s="101" t="s">
        <v>122</v>
      </c>
    </row>
    <row r="155" spans="1:29" s="90" customFormat="1" ht="15" customHeight="1" x14ac:dyDescent="0.2">
      <c r="A155" s="106" t="s">
        <v>296</v>
      </c>
      <c r="D155" s="105">
        <v>9.81</v>
      </c>
      <c r="E155" s="90" t="s">
        <v>200</v>
      </c>
    </row>
    <row r="156" spans="1:29" s="77" customFormat="1" ht="8.1" customHeight="1" x14ac:dyDescent="0.2">
      <c r="A156" s="163"/>
      <c r="B156" s="81"/>
      <c r="C156" s="81"/>
      <c r="D156" s="97"/>
      <c r="E156" s="94"/>
      <c r="F156" s="86"/>
      <c r="G156" s="86"/>
    </row>
    <row r="157" spans="1:29" s="77" customFormat="1" ht="15" customHeight="1" x14ac:dyDescent="0.2">
      <c r="A157" s="270" t="str">
        <f>+CONCATENATE("Según lo anterior, por los ",D151," orificios de Ø",D148,"pulgadas, se presenta una velocidad de paso de ",D154,"m/s.")</f>
        <v>Según lo anterior, por los 15 orificios de Ø0,75pulgadas, se presenta una velocidad de paso de 0,21m/s.</v>
      </c>
      <c r="B157" s="270"/>
      <c r="C157" s="270"/>
      <c r="D157" s="270"/>
      <c r="E157" s="270"/>
      <c r="F157" s="270"/>
      <c r="G157" s="270"/>
      <c r="H157" s="270"/>
    </row>
    <row r="158" spans="1:29" s="77" customFormat="1" ht="8.1" customHeight="1" x14ac:dyDescent="0.2">
      <c r="B158" s="81"/>
      <c r="C158" s="81"/>
      <c r="D158" s="81"/>
      <c r="E158" s="81"/>
      <c r="F158" s="81"/>
      <c r="G158" s="81"/>
    </row>
    <row r="159" spans="1:29" ht="15" customHeight="1" x14ac:dyDescent="0.2">
      <c r="A159" s="279" t="s">
        <v>304</v>
      </c>
      <c r="B159" s="279"/>
      <c r="C159" s="279"/>
      <c r="D159" s="279"/>
      <c r="E159" s="279"/>
      <c r="F159" s="279"/>
      <c r="G159" s="279"/>
      <c r="H159" s="279"/>
      <c r="P159" s="130"/>
      <c r="V159" s="132"/>
      <c r="W159" s="132"/>
      <c r="X159" s="132"/>
      <c r="Y159" s="132"/>
      <c r="Z159" s="132"/>
      <c r="AA159" s="132"/>
      <c r="AB159" s="132"/>
      <c r="AC159" s="132"/>
    </row>
    <row r="160" spans="1:29" s="77" customFormat="1" ht="8.1" customHeight="1" x14ac:dyDescent="0.2">
      <c r="B160" s="81"/>
      <c r="C160" s="81"/>
      <c r="D160" s="81"/>
      <c r="E160" s="81"/>
      <c r="F160" s="81"/>
      <c r="G160" s="81"/>
    </row>
    <row r="161" spans="1:8" s="77" customFormat="1" ht="75" customHeight="1" x14ac:dyDescent="0.2">
      <c r="A161" s="270" t="s">
        <v>300</v>
      </c>
      <c r="B161" s="270"/>
      <c r="C161" s="270"/>
      <c r="D161" s="270"/>
      <c r="E161" s="270"/>
      <c r="F161" s="270"/>
      <c r="G161" s="270"/>
      <c r="H161" s="270"/>
    </row>
    <row r="162" spans="1:8" s="77" customFormat="1" ht="8.1" customHeight="1" x14ac:dyDescent="0.2">
      <c r="B162" s="81"/>
      <c r="C162" s="81"/>
      <c r="D162" s="81"/>
      <c r="E162" s="81"/>
      <c r="F162" s="81"/>
      <c r="G162" s="81"/>
    </row>
    <row r="163" spans="1:8" s="77" customFormat="1" ht="15" customHeight="1" x14ac:dyDescent="0.2">
      <c r="A163" s="276" t="s">
        <v>303</v>
      </c>
      <c r="B163" s="276"/>
      <c r="C163" s="276"/>
      <c r="D163" s="276"/>
      <c r="E163" s="276"/>
      <c r="F163" s="276"/>
      <c r="G163" s="276"/>
      <c r="H163" s="276"/>
    </row>
    <row r="164" spans="1:8" s="77" customFormat="1" ht="8.1" customHeight="1" x14ac:dyDescent="0.2">
      <c r="B164" s="81"/>
      <c r="C164" s="81"/>
      <c r="D164" s="81"/>
      <c r="E164" s="81"/>
      <c r="F164" s="81"/>
      <c r="G164" s="81"/>
    </row>
    <row r="165" spans="1:8" s="90" customFormat="1" ht="15" customHeight="1" x14ac:dyDescent="0.2">
      <c r="A165" s="106" t="s">
        <v>290</v>
      </c>
      <c r="D165" s="162">
        <f>+D67*D68</f>
        <v>0.72000000000000008</v>
      </c>
      <c r="E165" s="90" t="s">
        <v>206</v>
      </c>
    </row>
    <row r="166" spans="1:8" s="90" customFormat="1" ht="15" customHeight="1" x14ac:dyDescent="0.2">
      <c r="A166" s="106" t="s">
        <v>291</v>
      </c>
      <c r="D166" s="158">
        <v>4</v>
      </c>
      <c r="E166" s="90" t="s">
        <v>292</v>
      </c>
    </row>
    <row r="167" spans="1:8" s="90" customFormat="1" ht="15" customHeight="1" x14ac:dyDescent="0.2">
      <c r="A167" s="106" t="s">
        <v>291</v>
      </c>
      <c r="D167" s="105">
        <f>+D166*0.0254</f>
        <v>0.1016</v>
      </c>
      <c r="E167" s="90" t="s">
        <v>54</v>
      </c>
    </row>
    <row r="168" spans="1:8" s="90" customFormat="1" ht="15" customHeight="1" x14ac:dyDescent="0.2">
      <c r="A168" s="106" t="s">
        <v>293</v>
      </c>
      <c r="D168" s="159">
        <f>+ROUND((PI()*(D167^2)/4),3)</f>
        <v>8.0000000000000002E-3</v>
      </c>
      <c r="E168" s="90" t="s">
        <v>206</v>
      </c>
    </row>
    <row r="169" spans="1:8" s="90" customFormat="1" ht="15" customHeight="1" x14ac:dyDescent="0.2">
      <c r="A169" s="106" t="s">
        <v>301</v>
      </c>
      <c r="D169" s="158">
        <v>1</v>
      </c>
    </row>
    <row r="170" spans="1:8" s="90" customFormat="1" ht="15" customHeight="1" x14ac:dyDescent="0.2">
      <c r="A170" s="106" t="s">
        <v>302</v>
      </c>
      <c r="D170" s="159">
        <f>+D169*D168</f>
        <v>8.0000000000000002E-3</v>
      </c>
      <c r="E170" s="90" t="s">
        <v>206</v>
      </c>
    </row>
    <row r="171" spans="1:8" s="90" customFormat="1" ht="15" customHeight="1" x14ac:dyDescent="0.2">
      <c r="A171" s="106" t="s">
        <v>299</v>
      </c>
      <c r="D171" s="161">
        <f>+D66</f>
        <v>1.5</v>
      </c>
      <c r="E171" s="90" t="s">
        <v>54</v>
      </c>
    </row>
    <row r="172" spans="1:8" s="90" customFormat="1" ht="15" customHeight="1" x14ac:dyDescent="0.2">
      <c r="A172" s="106" t="s">
        <v>294</v>
      </c>
      <c r="D172" s="105">
        <v>0.55000000000000004</v>
      </c>
      <c r="E172" s="90" t="s">
        <v>295</v>
      </c>
    </row>
    <row r="173" spans="1:8" s="90" customFormat="1" ht="15" customHeight="1" x14ac:dyDescent="0.2">
      <c r="A173" s="106" t="s">
        <v>296</v>
      </c>
      <c r="D173" s="105">
        <v>9.81</v>
      </c>
      <c r="E173" s="90" t="s">
        <v>200</v>
      </c>
    </row>
    <row r="174" spans="1:8" s="90" customFormat="1" ht="15" customHeight="1" x14ac:dyDescent="0.2">
      <c r="A174" s="106" t="s">
        <v>298</v>
      </c>
      <c r="D174" s="160">
        <f>+ROUND(((2*D165*(D171^0.5))/(D172*D170*((2*D173)^0.5))/3600),2)</f>
        <v>0.03</v>
      </c>
      <c r="E174" s="101" t="s">
        <v>297</v>
      </c>
    </row>
    <row r="175" spans="1:8" s="90" customFormat="1" ht="15" customHeight="1" x14ac:dyDescent="0.2">
      <c r="A175" s="106" t="s">
        <v>298</v>
      </c>
      <c r="D175" s="155">
        <f>+D174*60</f>
        <v>1.7999999999999998</v>
      </c>
      <c r="E175" s="101" t="s">
        <v>118</v>
      </c>
    </row>
    <row r="176" spans="1:8" s="90" customFormat="1" ht="15" hidden="1" customHeight="1" x14ac:dyDescent="0.2">
      <c r="A176" s="106"/>
      <c r="D176" s="156" t="str">
        <f>+IF(D174&lt;=8,"Cumple Literal B.9.4.10 del RAS/2.000, T &lt; 8 horas","No cumple Literal B.9.4.10 del RAS/2.000, T &lt; 8 horas")</f>
        <v>Cumple Literal B.9.4.10 del RAS/2.000, T &lt; 8 horas</v>
      </c>
    </row>
    <row r="177" spans="1:28" s="77" customFormat="1" ht="8.1" customHeight="1" x14ac:dyDescent="0.2">
      <c r="A177" s="163"/>
      <c r="B177" s="81"/>
      <c r="C177" s="81"/>
      <c r="D177" s="97"/>
      <c r="E177" s="94"/>
      <c r="F177" s="86"/>
      <c r="G177" s="86"/>
    </row>
    <row r="178" spans="1:28" s="77" customFormat="1" ht="30" customHeight="1" x14ac:dyDescent="0.2">
      <c r="A178" s="270" t="str">
        <f>+CONCATENATE("Acorde con lo anterior, el desagüe existente son ",D169," tuberías en PVC de Ø",D166,"pulg., ubicados en el fondo del desarenador, estas tuberías tendrá la capacidad de vaciar completamente la estructura en un tiempo de ",D175," minutos.")</f>
        <v>Acorde con lo anterior, el desagüe existente son 1 tuberías en PVC de Ø4pulg., ubicados en el fondo del desarenador, estas tuberías tendrá la capacidad de vaciar completamente la estructura en un tiempo de 1,8 minutos.</v>
      </c>
      <c r="B178" s="270"/>
      <c r="C178" s="270"/>
      <c r="D178" s="270"/>
      <c r="E178" s="270"/>
      <c r="F178" s="270"/>
      <c r="G178" s="270"/>
      <c r="H178" s="270"/>
    </row>
    <row r="179" spans="1:28" s="77" customFormat="1" ht="8.1" customHeight="1" x14ac:dyDescent="0.2">
      <c r="A179" s="163"/>
      <c r="B179" s="81"/>
      <c r="C179" s="81"/>
      <c r="D179" s="97"/>
      <c r="E179" s="94"/>
      <c r="F179" s="86"/>
      <c r="G179" s="86"/>
    </row>
    <row r="180" spans="1:28" ht="12" customHeight="1" x14ac:dyDescent="0.2">
      <c r="A180" s="274" t="s">
        <v>282</v>
      </c>
      <c r="B180" s="274"/>
      <c r="C180" s="274"/>
      <c r="D180" s="274"/>
      <c r="E180" s="274"/>
      <c r="F180" s="274"/>
      <c r="G180" s="274"/>
      <c r="H180" s="270"/>
    </row>
    <row r="181" spans="1:28" ht="12" customHeight="1" x14ac:dyDescent="0.2">
      <c r="A181" s="274" t="s">
        <v>283</v>
      </c>
      <c r="B181" s="274"/>
      <c r="C181" s="274"/>
      <c r="D181" s="274"/>
      <c r="E181" s="274"/>
      <c r="F181" s="274"/>
      <c r="G181" s="274"/>
      <c r="H181" s="270"/>
    </row>
    <row r="182" spans="1:28" ht="12" customHeight="1" x14ac:dyDescent="0.2">
      <c r="A182" s="274" t="s">
        <v>284</v>
      </c>
      <c r="B182" s="274"/>
      <c r="C182" s="274"/>
      <c r="D182" s="274"/>
      <c r="E182" s="274"/>
      <c r="F182" s="274"/>
      <c r="G182" s="274"/>
      <c r="H182" s="270"/>
    </row>
    <row r="183" spans="1:28" ht="17.25" x14ac:dyDescent="0.2">
      <c r="A183" s="152"/>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ht="17.25" x14ac:dyDescent="0.2">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ht="17.25" x14ac:dyDescent="0.2">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ht="17.25" x14ac:dyDescent="0.2">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ht="17.25" x14ac:dyDescent="0.2">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ht="17.25" x14ac:dyDescent="0.2">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ht="17.25" x14ac:dyDescent="0.2">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ht="17.25" x14ac:dyDescent="0.2">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ht="17.25" x14ac:dyDescent="0.2">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ht="17.25" x14ac:dyDescent="0.2">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ht="17.25" x14ac:dyDescent="0.2">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ht="17.25" x14ac:dyDescent="0.2">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ht="17.25" x14ac:dyDescent="0.2">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ht="17.25" x14ac:dyDescent="0.2">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ht="17.25" x14ac:dyDescent="0.2">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ht="17.25" x14ac:dyDescent="0.2">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ht="17.25" x14ac:dyDescent="0.2">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ht="17.25" x14ac:dyDescent="0.2">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ht="17.25" x14ac:dyDescent="0.2">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ht="17.25" x14ac:dyDescent="0.2">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ht="17.25" x14ac:dyDescent="0.2">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ht="17.25" x14ac:dyDescent="0.2">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ht="17.25" x14ac:dyDescent="0.2">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ht="17.25" x14ac:dyDescent="0.2">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ht="17.25" x14ac:dyDescent="0.2">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ht="17.25" x14ac:dyDescent="0.2">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ht="17.25" x14ac:dyDescent="0.2">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ht="17.25" x14ac:dyDescent="0.2">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ht="17.25" x14ac:dyDescent="0.2">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ht="17.25" x14ac:dyDescent="0.2">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ht="17.25" x14ac:dyDescent="0.2">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ht="17.25" x14ac:dyDescent="0.2">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ht="17.25" x14ac:dyDescent="0.2">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ht="17.25" x14ac:dyDescent="0.2">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ht="17.25" x14ac:dyDescent="0.2">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ht="17.25" x14ac:dyDescent="0.2">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ht="17.25" x14ac:dyDescent="0.2">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ht="17.25" x14ac:dyDescent="0.2">
      <c r="A220" s="129"/>
      <c r="B220" s="129"/>
      <c r="C220" s="129"/>
      <c r="D220" s="129"/>
      <c r="E220" s="129"/>
    </row>
    <row r="221" spans="1:28" ht="17.25" x14ac:dyDescent="0.2">
      <c r="A221" s="129"/>
      <c r="B221" s="129"/>
      <c r="C221" s="129"/>
      <c r="D221" s="129"/>
      <c r="E221" s="129"/>
    </row>
    <row r="222" spans="1:28" ht="17.25" x14ac:dyDescent="0.2">
      <c r="A222" s="129"/>
      <c r="B222" s="129"/>
      <c r="C222" s="129"/>
      <c r="D222" s="129"/>
      <c r="E222" s="129"/>
    </row>
    <row r="223" spans="1:28" ht="17.25" x14ac:dyDescent="0.2">
      <c r="A223" s="129"/>
      <c r="B223" s="129"/>
      <c r="C223" s="129"/>
      <c r="D223" s="129"/>
      <c r="E223" s="129"/>
    </row>
    <row r="224" spans="1:28" ht="17.25" x14ac:dyDescent="0.2">
      <c r="A224" s="129"/>
      <c r="B224" s="129"/>
      <c r="C224" s="129"/>
      <c r="D224" s="129"/>
      <c r="E224" s="129"/>
    </row>
    <row r="225" spans="1:5" ht="17.25" x14ac:dyDescent="0.2">
      <c r="A225" s="129"/>
      <c r="B225" s="129"/>
      <c r="C225" s="129"/>
      <c r="D225" s="129"/>
      <c r="E225" s="129"/>
    </row>
    <row r="226" spans="1:5" ht="17.25" x14ac:dyDescent="0.2">
      <c r="A226" s="129"/>
      <c r="B226" s="129"/>
      <c r="C226" s="129"/>
      <c r="D226" s="129"/>
      <c r="E226" s="129"/>
    </row>
    <row r="227" spans="1:5" ht="17.25" x14ac:dyDescent="0.2">
      <c r="A227" s="129"/>
      <c r="B227" s="129"/>
      <c r="C227" s="129"/>
      <c r="D227" s="129"/>
      <c r="E227" s="129"/>
    </row>
    <row r="228" spans="1:5" ht="17.25" x14ac:dyDescent="0.2">
      <c r="A228" s="129"/>
      <c r="B228" s="129"/>
      <c r="C228" s="129"/>
      <c r="D228" s="129"/>
      <c r="E228" s="129"/>
    </row>
  </sheetData>
  <mergeCells count="57">
    <mergeCell ref="A2:A8"/>
    <mergeCell ref="B2:F2"/>
    <mergeCell ref="G2:G8"/>
    <mergeCell ref="B3:F6"/>
    <mergeCell ref="B7:C8"/>
    <mergeCell ref="D7:E8"/>
    <mergeCell ref="F7:F8"/>
    <mergeCell ref="A182:H182"/>
    <mergeCell ref="A159:H159"/>
    <mergeCell ref="A161:H161"/>
    <mergeCell ref="A163:H163"/>
    <mergeCell ref="A178:H178"/>
    <mergeCell ref="A180:H180"/>
    <mergeCell ref="A181:H181"/>
    <mergeCell ref="A157:H157"/>
    <mergeCell ref="A115:H115"/>
    <mergeCell ref="C117:E117"/>
    <mergeCell ref="A126:H126"/>
    <mergeCell ref="A128:H128"/>
    <mergeCell ref="A130:H130"/>
    <mergeCell ref="C132:E132"/>
    <mergeCell ref="A133:G133"/>
    <mergeCell ref="A140:H140"/>
    <mergeCell ref="A142:H142"/>
    <mergeCell ref="A144:H144"/>
    <mergeCell ref="A146:H146"/>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A21:H21"/>
    <mergeCell ref="A9:H9"/>
    <mergeCell ref="A11:H11"/>
    <mergeCell ref="A13:H13"/>
    <mergeCell ref="A15:H15"/>
    <mergeCell ref="A19:F19"/>
  </mergeCells>
  <printOptions horizontalCentered="1"/>
  <pageMargins left="0.19685039370078741" right="0.19685039370078741" top="0.59055118110236227" bottom="0.59055118110236227" header="0" footer="0.39370078740157483"/>
  <pageSetup scale="95"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3"/>
  <sheetViews>
    <sheetView workbookViewId="0">
      <selection activeCell="C12" sqref="C12"/>
    </sheetView>
  </sheetViews>
  <sheetFormatPr baseColWidth="10" defaultRowHeight="12.75" x14ac:dyDescent="0.2"/>
  <cols>
    <col min="1" max="1" width="9.28515625" style="47" customWidth="1"/>
    <col min="2" max="3" width="11.42578125" style="47"/>
    <col min="4" max="4" width="14.7109375" style="47" customWidth="1"/>
    <col min="5" max="5" width="11.42578125" style="47"/>
    <col min="6" max="6" width="9.42578125" style="47" customWidth="1"/>
    <col min="7" max="16384" width="11.42578125" style="47"/>
  </cols>
  <sheetData>
    <row r="2" spans="1:8" x14ac:dyDescent="0.2">
      <c r="A2" s="340" t="s">
        <v>2</v>
      </c>
      <c r="B2" s="340"/>
      <c r="C2" s="340"/>
      <c r="D2" s="340"/>
      <c r="E2" s="340"/>
      <c r="F2" s="340"/>
      <c r="G2" s="340"/>
      <c r="H2" s="340"/>
    </row>
    <row r="3" spans="1:8" x14ac:dyDescent="0.2">
      <c r="A3" s="14" t="s">
        <v>3</v>
      </c>
    </row>
    <row r="4" spans="1:8" ht="13.5" thickBot="1" x14ac:dyDescent="0.25"/>
    <row r="5" spans="1:8" ht="37.5" customHeight="1" thickTop="1" thickBot="1" x14ac:dyDescent="0.25">
      <c r="A5" s="69" t="s">
        <v>4</v>
      </c>
      <c r="B5" s="70" t="s">
        <v>9</v>
      </c>
      <c r="C5" s="71" t="s">
        <v>5</v>
      </c>
      <c r="D5" s="71" t="s">
        <v>6</v>
      </c>
      <c r="E5" s="71" t="s">
        <v>7</v>
      </c>
      <c r="F5" s="72" t="s">
        <v>8</v>
      </c>
    </row>
    <row r="6" spans="1:8" ht="15" customHeight="1" thickBot="1" x14ac:dyDescent="0.25">
      <c r="A6" s="48" t="s">
        <v>10</v>
      </c>
      <c r="B6" s="49" t="s">
        <v>11</v>
      </c>
      <c r="C6" s="49" t="s">
        <v>12</v>
      </c>
      <c r="D6" s="49" t="s">
        <v>13</v>
      </c>
      <c r="E6" s="49" t="s">
        <v>14</v>
      </c>
      <c r="F6" s="50" t="s">
        <v>15</v>
      </c>
    </row>
    <row r="7" spans="1:8" ht="15" customHeight="1" x14ac:dyDescent="0.2">
      <c r="A7" s="341" t="s">
        <v>16</v>
      </c>
      <c r="B7" s="51" t="s">
        <v>17</v>
      </c>
      <c r="C7" s="52">
        <v>1000</v>
      </c>
      <c r="D7" s="51" t="s">
        <v>23</v>
      </c>
      <c r="E7" s="51" t="s">
        <v>31</v>
      </c>
      <c r="F7" s="53" t="s">
        <v>32</v>
      </c>
    </row>
    <row r="8" spans="1:8" ht="15" customHeight="1" x14ac:dyDescent="0.2">
      <c r="A8" s="342"/>
      <c r="B8" s="54" t="s">
        <v>18</v>
      </c>
      <c r="C8" s="54">
        <v>660</v>
      </c>
      <c r="D8" s="54" t="s">
        <v>24</v>
      </c>
      <c r="E8" s="54" t="s">
        <v>31</v>
      </c>
      <c r="F8" s="55" t="s">
        <v>32</v>
      </c>
    </row>
    <row r="9" spans="1:8" ht="15" customHeight="1" x14ac:dyDescent="0.2">
      <c r="A9" s="342"/>
      <c r="B9" s="54" t="s">
        <v>19</v>
      </c>
      <c r="C9" s="54">
        <v>380</v>
      </c>
      <c r="D9" s="54" t="s">
        <v>25</v>
      </c>
      <c r="E9" s="54" t="s">
        <v>31</v>
      </c>
      <c r="F9" s="55" t="s">
        <v>32</v>
      </c>
    </row>
    <row r="10" spans="1:8" ht="15" customHeight="1" x14ac:dyDescent="0.2">
      <c r="A10" s="342"/>
      <c r="B10" s="54" t="s">
        <v>19</v>
      </c>
      <c r="C10" s="54">
        <v>27</v>
      </c>
      <c r="D10" s="54" t="s">
        <v>26</v>
      </c>
      <c r="E10" s="54" t="s">
        <v>31</v>
      </c>
      <c r="F10" s="55" t="s">
        <v>32</v>
      </c>
    </row>
    <row r="11" spans="1:8" ht="15" customHeight="1" x14ac:dyDescent="0.2">
      <c r="A11" s="342"/>
      <c r="B11" s="54" t="s">
        <v>20</v>
      </c>
      <c r="C11" s="54">
        <v>17</v>
      </c>
      <c r="D11" s="54" t="s">
        <v>27</v>
      </c>
      <c r="E11" s="54" t="s">
        <v>31</v>
      </c>
      <c r="F11" s="55" t="s">
        <v>32</v>
      </c>
    </row>
    <row r="12" spans="1:8" ht="15" customHeight="1" x14ac:dyDescent="0.2">
      <c r="A12" s="342"/>
      <c r="B12" s="54" t="s">
        <v>21</v>
      </c>
      <c r="C12" s="54">
        <v>10</v>
      </c>
      <c r="D12" s="54" t="s">
        <v>28</v>
      </c>
      <c r="E12" s="54" t="s">
        <v>31</v>
      </c>
      <c r="F12" s="55" t="s">
        <v>32</v>
      </c>
      <c r="H12" s="56"/>
    </row>
    <row r="13" spans="1:8" ht="15" customHeight="1" x14ac:dyDescent="0.2">
      <c r="A13" s="342"/>
      <c r="B13" s="57" t="s">
        <v>22</v>
      </c>
      <c r="C13" s="57">
        <v>4</v>
      </c>
      <c r="D13" s="57" t="s">
        <v>29</v>
      </c>
      <c r="E13" s="57" t="s">
        <v>31</v>
      </c>
      <c r="F13" s="58" t="s">
        <v>32</v>
      </c>
    </row>
    <row r="14" spans="1:8" ht="15" customHeight="1" thickBot="1" x14ac:dyDescent="0.25">
      <c r="A14" s="343"/>
      <c r="B14" s="59" t="s">
        <v>33</v>
      </c>
      <c r="C14" s="59">
        <v>2</v>
      </c>
      <c r="D14" s="59" t="s">
        <v>30</v>
      </c>
      <c r="E14" s="59" t="s">
        <v>31</v>
      </c>
      <c r="F14" s="60" t="s">
        <v>32</v>
      </c>
    </row>
    <row r="15" spans="1:8" x14ac:dyDescent="0.2">
      <c r="A15" s="341" t="s">
        <v>34</v>
      </c>
      <c r="B15" s="51" t="s">
        <v>35</v>
      </c>
      <c r="C15" s="61">
        <v>0.8</v>
      </c>
      <c r="D15" s="51" t="s">
        <v>44</v>
      </c>
      <c r="E15" s="51" t="s">
        <v>52</v>
      </c>
      <c r="F15" s="53" t="s">
        <v>53</v>
      </c>
    </row>
    <row r="16" spans="1:8" x14ac:dyDescent="0.2">
      <c r="A16" s="342"/>
      <c r="B16" s="57" t="s">
        <v>36</v>
      </c>
      <c r="C16" s="57">
        <v>0.5</v>
      </c>
      <c r="D16" s="57" t="s">
        <v>45</v>
      </c>
      <c r="E16" s="62" t="s">
        <v>52</v>
      </c>
      <c r="F16" s="63" t="s">
        <v>53</v>
      </c>
      <c r="G16" s="345" t="s">
        <v>155</v>
      </c>
      <c r="H16" s="345"/>
    </row>
    <row r="17" spans="1:7" x14ac:dyDescent="0.2">
      <c r="A17" s="342"/>
      <c r="B17" s="57" t="s">
        <v>37</v>
      </c>
      <c r="C17" s="57">
        <v>0.24</v>
      </c>
      <c r="D17" s="57" t="s">
        <v>46</v>
      </c>
      <c r="E17" s="62" t="s">
        <v>52</v>
      </c>
      <c r="F17" s="63" t="s">
        <v>53</v>
      </c>
      <c r="G17" s="38"/>
    </row>
    <row r="18" spans="1:7" x14ac:dyDescent="0.2">
      <c r="A18" s="342"/>
      <c r="B18" s="54" t="s">
        <v>38</v>
      </c>
      <c r="C18" s="54" t="s">
        <v>43</v>
      </c>
      <c r="D18" s="54" t="s">
        <v>47</v>
      </c>
      <c r="E18" s="64" t="s">
        <v>52</v>
      </c>
      <c r="F18" s="65" t="s">
        <v>53</v>
      </c>
    </row>
    <row r="19" spans="1:7" x14ac:dyDescent="0.2">
      <c r="A19" s="342"/>
      <c r="B19" s="54" t="s">
        <v>39</v>
      </c>
      <c r="C19" s="54" t="s">
        <v>43</v>
      </c>
      <c r="D19" s="54" t="s">
        <v>48</v>
      </c>
      <c r="E19" s="64" t="s">
        <v>52</v>
      </c>
      <c r="F19" s="65" t="s">
        <v>53</v>
      </c>
    </row>
    <row r="20" spans="1:7" x14ac:dyDescent="0.2">
      <c r="A20" s="342"/>
      <c r="B20" s="54" t="s">
        <v>40</v>
      </c>
      <c r="C20" s="54" t="s">
        <v>43</v>
      </c>
      <c r="D20" s="54" t="s">
        <v>49</v>
      </c>
      <c r="E20" s="64" t="s">
        <v>52</v>
      </c>
      <c r="F20" s="65" t="s">
        <v>53</v>
      </c>
    </row>
    <row r="21" spans="1:7" x14ac:dyDescent="0.2">
      <c r="A21" s="342"/>
      <c r="B21" s="54" t="s">
        <v>41</v>
      </c>
      <c r="C21" s="54" t="s">
        <v>43</v>
      </c>
      <c r="D21" s="54" t="s">
        <v>50</v>
      </c>
      <c r="E21" s="64" t="s">
        <v>52</v>
      </c>
      <c r="F21" s="65" t="s">
        <v>53</v>
      </c>
    </row>
    <row r="22" spans="1:7" ht="13.5" thickBot="1" x14ac:dyDescent="0.25">
      <c r="A22" s="344"/>
      <c r="B22" s="66" t="s">
        <v>42</v>
      </c>
      <c r="C22" s="66" t="s">
        <v>43</v>
      </c>
      <c r="D22" s="66" t="s">
        <v>51</v>
      </c>
      <c r="E22" s="67" t="s">
        <v>52</v>
      </c>
      <c r="F22" s="68" t="s">
        <v>53</v>
      </c>
    </row>
    <row r="23" spans="1:7" ht="13.5" thickTop="1" x14ac:dyDescent="0.2"/>
  </sheetData>
  <mergeCells count="4">
    <mergeCell ref="A2:H2"/>
    <mergeCell ref="A7:A14"/>
    <mergeCell ref="A15:A22"/>
    <mergeCell ref="G16:H16"/>
  </mergeCells>
  <phoneticPr fontId="0" type="noConversion"/>
  <pageMargins left="0.75" right="0.75" top="1" bottom="1" header="0" footer="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C30" sqref="C30"/>
    </sheetView>
  </sheetViews>
  <sheetFormatPr baseColWidth="10" defaultColWidth="17.140625" defaultRowHeight="14.25" x14ac:dyDescent="0.2"/>
  <cols>
    <col min="1" max="1" width="13.42578125" style="7" customWidth="1"/>
    <col min="2" max="2" width="16.28515625" style="7" customWidth="1"/>
    <col min="3" max="3" width="13" style="7" customWidth="1"/>
    <col min="4" max="4" width="13.42578125" style="7" customWidth="1"/>
    <col min="5" max="5" width="12.7109375" style="7" customWidth="1"/>
    <col min="6" max="16384" width="17.140625" style="7"/>
  </cols>
  <sheetData>
    <row r="1" spans="1:5" ht="15" x14ac:dyDescent="0.2">
      <c r="A1" s="6" t="s">
        <v>68</v>
      </c>
      <c r="B1" s="6"/>
      <c r="C1" s="6"/>
      <c r="D1" s="6"/>
      <c r="E1" s="6"/>
    </row>
    <row r="2" spans="1:5" ht="15" x14ac:dyDescent="0.2">
      <c r="A2" s="6" t="s">
        <v>69</v>
      </c>
      <c r="B2" s="6"/>
      <c r="C2" s="6"/>
      <c r="D2" s="6"/>
      <c r="E2" s="6"/>
    </row>
    <row r="4" spans="1:5" ht="42.75" customHeight="1" x14ac:dyDescent="0.2">
      <c r="A4" s="8" t="s">
        <v>70</v>
      </c>
      <c r="B4" s="8" t="s">
        <v>72</v>
      </c>
      <c r="C4" s="8" t="s">
        <v>71</v>
      </c>
      <c r="D4" s="8" t="s">
        <v>73</v>
      </c>
      <c r="E4" s="8" t="s">
        <v>74</v>
      </c>
    </row>
    <row r="5" spans="1:5" ht="12" customHeight="1" x14ac:dyDescent="0.2">
      <c r="A5" s="9">
        <v>0</v>
      </c>
      <c r="B5" s="10">
        <f>0.99987*1000</f>
        <v>999.87</v>
      </c>
      <c r="C5" s="12">
        <v>1.7919999999999998E-2</v>
      </c>
      <c r="D5" s="12">
        <f t="shared" ref="D5:D35" si="0">C5/98</f>
        <v>1.8285714285714284E-4</v>
      </c>
      <c r="E5" s="12">
        <f t="shared" ref="E5:E35" si="1">C5/(B5/1000)</f>
        <v>1.7922329902887373E-2</v>
      </c>
    </row>
    <row r="6" spans="1:5" ht="12" customHeight="1" x14ac:dyDescent="0.2">
      <c r="A6" s="9">
        <f t="shared" ref="A6:A35" si="2">A5+1</f>
        <v>1</v>
      </c>
      <c r="B6" s="10">
        <f>0.99993*1000</f>
        <v>999.93</v>
      </c>
      <c r="C6" s="12">
        <v>1.7319999999999999E-2</v>
      </c>
      <c r="D6" s="12">
        <f t="shared" si="0"/>
        <v>1.7673469387755102E-4</v>
      </c>
      <c r="E6" s="12">
        <f t="shared" si="1"/>
        <v>1.7321212484873939E-2</v>
      </c>
    </row>
    <row r="7" spans="1:5" ht="12" customHeight="1" x14ac:dyDescent="0.2">
      <c r="A7" s="9">
        <f t="shared" si="2"/>
        <v>2</v>
      </c>
      <c r="B7" s="10">
        <f>0.99997*1000</f>
        <v>999.97</v>
      </c>
      <c r="C7" s="12">
        <v>1.6740000000000001E-2</v>
      </c>
      <c r="D7" s="12">
        <f t="shared" si="0"/>
        <v>1.7081632653061227E-4</v>
      </c>
      <c r="E7" s="12">
        <f t="shared" si="1"/>
        <v>1.6740502215066452E-2</v>
      </c>
    </row>
    <row r="8" spans="1:5" ht="12" customHeight="1" x14ac:dyDescent="0.2">
      <c r="A8" s="9">
        <f t="shared" si="2"/>
        <v>3</v>
      </c>
      <c r="B8" s="10">
        <f>0.99999*1000</f>
        <v>999.99</v>
      </c>
      <c r="C8" s="12">
        <v>1.619E-2</v>
      </c>
      <c r="D8" s="12">
        <f t="shared" si="0"/>
        <v>1.6520408163265307E-4</v>
      </c>
      <c r="E8" s="12">
        <f t="shared" si="1"/>
        <v>1.6190161901619014E-2</v>
      </c>
    </row>
    <row r="9" spans="1:5" ht="12" customHeight="1" x14ac:dyDescent="0.2">
      <c r="A9" s="9">
        <f t="shared" si="2"/>
        <v>4</v>
      </c>
      <c r="B9" s="10">
        <f>1*1000</f>
        <v>1000</v>
      </c>
      <c r="C9" s="12">
        <v>1.5679999999999999E-2</v>
      </c>
      <c r="D9" s="12">
        <f t="shared" si="0"/>
        <v>1.5999999999999999E-4</v>
      </c>
      <c r="E9" s="12">
        <f t="shared" si="1"/>
        <v>1.5679999999999999E-2</v>
      </c>
    </row>
    <row r="10" spans="1:5" ht="12" customHeight="1" x14ac:dyDescent="0.2">
      <c r="A10" s="9">
        <f t="shared" si="2"/>
        <v>5</v>
      </c>
      <c r="B10" s="10">
        <f>0.99999*1000</f>
        <v>999.99</v>
      </c>
      <c r="C10" s="12">
        <v>1.519E-2</v>
      </c>
      <c r="D10" s="12">
        <f t="shared" si="0"/>
        <v>1.55E-4</v>
      </c>
      <c r="E10" s="12">
        <f t="shared" si="1"/>
        <v>1.5190151901519015E-2</v>
      </c>
    </row>
    <row r="11" spans="1:5" ht="12" customHeight="1" x14ac:dyDescent="0.2">
      <c r="A11" s="9">
        <f t="shared" si="2"/>
        <v>6</v>
      </c>
      <c r="B11" s="10">
        <f>0.99997*1000</f>
        <v>999.97</v>
      </c>
      <c r="C11" s="12">
        <v>1.473E-2</v>
      </c>
      <c r="D11" s="12">
        <f t="shared" si="0"/>
        <v>1.5030612244897959E-4</v>
      </c>
      <c r="E11" s="12">
        <f t="shared" si="1"/>
        <v>1.4730441913257397E-2</v>
      </c>
    </row>
    <row r="12" spans="1:5" ht="12" customHeight="1" x14ac:dyDescent="0.2">
      <c r="A12" s="9">
        <f t="shared" si="2"/>
        <v>7</v>
      </c>
      <c r="B12" s="10">
        <f>0.99993*1000</f>
        <v>999.93</v>
      </c>
      <c r="C12" s="12">
        <v>1.4290000000000001E-2</v>
      </c>
      <c r="D12" s="12">
        <f t="shared" si="0"/>
        <v>1.4581632653061226E-4</v>
      </c>
      <c r="E12" s="12">
        <f t="shared" si="1"/>
        <v>1.4291000370025902E-2</v>
      </c>
    </row>
    <row r="13" spans="1:5" ht="12" customHeight="1" x14ac:dyDescent="0.2">
      <c r="A13" s="9">
        <f t="shared" si="2"/>
        <v>8</v>
      </c>
      <c r="B13" s="10">
        <f>0.99988*1000</f>
        <v>999.88</v>
      </c>
      <c r="C13" s="12">
        <v>1.387E-2</v>
      </c>
      <c r="D13" s="12">
        <f t="shared" si="0"/>
        <v>1.4153061224489796E-4</v>
      </c>
      <c r="E13" s="12">
        <f t="shared" si="1"/>
        <v>1.3871664599751971E-2</v>
      </c>
    </row>
    <row r="14" spans="1:5" ht="12" customHeight="1" x14ac:dyDescent="0.2">
      <c r="A14" s="9">
        <f t="shared" si="2"/>
        <v>9</v>
      </c>
      <c r="B14" s="10">
        <f>0.99981*1000</f>
        <v>999.81</v>
      </c>
      <c r="C14" s="12">
        <v>1.3480000000000001E-2</v>
      </c>
      <c r="D14" s="12">
        <f t="shared" si="0"/>
        <v>1.3755102040816328E-4</v>
      </c>
      <c r="E14" s="12">
        <f t="shared" si="1"/>
        <v>1.3482561686720478E-2</v>
      </c>
    </row>
    <row r="15" spans="1:5" ht="12" customHeight="1" x14ac:dyDescent="0.2">
      <c r="A15" s="9">
        <f t="shared" si="2"/>
        <v>10</v>
      </c>
      <c r="B15" s="10">
        <f>0.99973*1000</f>
        <v>999.73</v>
      </c>
      <c r="C15" s="12">
        <v>1.3100000000000001E-2</v>
      </c>
      <c r="D15" s="12">
        <f t="shared" si="0"/>
        <v>1.336734693877551E-4</v>
      </c>
      <c r="E15" s="12">
        <f t="shared" si="1"/>
        <v>1.3103537955247917E-2</v>
      </c>
    </row>
    <row r="16" spans="1:5" ht="12" customHeight="1" x14ac:dyDescent="0.2">
      <c r="A16" s="9">
        <f t="shared" si="2"/>
        <v>11</v>
      </c>
      <c r="B16" s="10">
        <f>0.99963*1000</f>
        <v>999.63</v>
      </c>
      <c r="C16" s="12">
        <v>1.274E-2</v>
      </c>
      <c r="D16" s="12">
        <f t="shared" si="0"/>
        <v>1.2999999999999999E-4</v>
      </c>
      <c r="E16" s="12">
        <f t="shared" si="1"/>
        <v>1.2744715544751557E-2</v>
      </c>
    </row>
    <row r="17" spans="1:5" ht="12" customHeight="1" x14ac:dyDescent="0.2">
      <c r="A17" s="9">
        <f t="shared" si="2"/>
        <v>12</v>
      </c>
      <c r="B17" s="10">
        <f>0.99952*1000</f>
        <v>999.52</v>
      </c>
      <c r="C17" s="12">
        <v>1.239E-2</v>
      </c>
      <c r="D17" s="12">
        <f t="shared" si="0"/>
        <v>1.2642857142857142E-4</v>
      </c>
      <c r="E17" s="12">
        <f t="shared" si="1"/>
        <v>1.2395950056026893E-2</v>
      </c>
    </row>
    <row r="18" spans="1:5" ht="12" customHeight="1" x14ac:dyDescent="0.2">
      <c r="A18" s="9">
        <f t="shared" si="2"/>
        <v>13</v>
      </c>
      <c r="B18" s="10">
        <f>0.9994*1000</f>
        <v>999.4</v>
      </c>
      <c r="C18" s="12">
        <v>1.206E-2</v>
      </c>
      <c r="D18" s="12">
        <f t="shared" si="0"/>
        <v>1.2306122448979591E-4</v>
      </c>
      <c r="E18" s="12">
        <f t="shared" si="1"/>
        <v>1.2067240344206524E-2</v>
      </c>
    </row>
    <row r="19" spans="1:5" ht="12" customHeight="1" x14ac:dyDescent="0.2">
      <c r="A19" s="9">
        <f t="shared" si="2"/>
        <v>14</v>
      </c>
      <c r="B19" s="10">
        <f>0.99927*1000</f>
        <v>999.27</v>
      </c>
      <c r="C19" s="12">
        <v>1.175E-2</v>
      </c>
      <c r="D19" s="12">
        <f t="shared" si="0"/>
        <v>1.1989795918367347E-4</v>
      </c>
      <c r="E19" s="12">
        <f t="shared" si="1"/>
        <v>1.1758583766149289E-2</v>
      </c>
    </row>
    <row r="20" spans="1:5" ht="12" customHeight="1" x14ac:dyDescent="0.2">
      <c r="A20" s="9">
        <f t="shared" si="2"/>
        <v>15</v>
      </c>
      <c r="B20" s="10">
        <f>0.99913*1000</f>
        <v>999.13</v>
      </c>
      <c r="C20" s="12">
        <v>1.145E-2</v>
      </c>
      <c r="D20" s="12">
        <f t="shared" si="0"/>
        <v>1.1683673469387756E-4</v>
      </c>
      <c r="E20" s="12">
        <f t="shared" si="1"/>
        <v>1.1459970174051426E-2</v>
      </c>
    </row>
    <row r="21" spans="1:5" ht="12" customHeight="1" x14ac:dyDescent="0.2">
      <c r="A21" s="9">
        <f t="shared" si="2"/>
        <v>16</v>
      </c>
      <c r="B21" s="10">
        <f>0.9988*1000</f>
        <v>998.80000000000007</v>
      </c>
      <c r="C21" s="12">
        <v>1.116E-2</v>
      </c>
      <c r="D21" s="12">
        <f t="shared" si="0"/>
        <v>1.1387755102040816E-4</v>
      </c>
      <c r="E21" s="12">
        <f t="shared" si="1"/>
        <v>1.1173408089707649E-2</v>
      </c>
    </row>
    <row r="22" spans="1:5" ht="12" customHeight="1" x14ac:dyDescent="0.2">
      <c r="A22" s="9">
        <f t="shared" si="2"/>
        <v>17</v>
      </c>
      <c r="B22" s="10">
        <f>0.9988*1000</f>
        <v>998.80000000000007</v>
      </c>
      <c r="C22" s="12">
        <v>1.0880000000000001E-2</v>
      </c>
      <c r="D22" s="12">
        <f t="shared" si="0"/>
        <v>1.1102040816326532E-4</v>
      </c>
      <c r="E22" s="12">
        <f t="shared" si="1"/>
        <v>1.0893071686023229E-2</v>
      </c>
    </row>
    <row r="23" spans="1:5" ht="12" customHeight="1" x14ac:dyDescent="0.2">
      <c r="A23" s="9">
        <f t="shared" si="2"/>
        <v>18</v>
      </c>
      <c r="B23" s="10">
        <f>0.99862*1000</f>
        <v>998.62</v>
      </c>
      <c r="C23" s="12">
        <v>1.06E-2</v>
      </c>
      <c r="D23" s="12">
        <f t="shared" si="0"/>
        <v>1.0816326530612245E-4</v>
      </c>
      <c r="E23" s="12">
        <f t="shared" si="1"/>
        <v>1.061464821453606E-2</v>
      </c>
    </row>
    <row r="24" spans="1:5" ht="12" customHeight="1" x14ac:dyDescent="0.2">
      <c r="A24" s="9">
        <f t="shared" si="2"/>
        <v>19</v>
      </c>
      <c r="B24" s="10">
        <f>0.99843*1000</f>
        <v>998.43000000000006</v>
      </c>
      <c r="C24" s="12">
        <v>1.034E-2</v>
      </c>
      <c r="D24" s="12">
        <f t="shared" si="0"/>
        <v>1.0551020408163265E-4</v>
      </c>
      <c r="E24" s="12">
        <f t="shared" si="1"/>
        <v>1.0356259327143616E-2</v>
      </c>
    </row>
    <row r="25" spans="1:5" ht="12" customHeight="1" x14ac:dyDescent="0.2">
      <c r="A25" s="9">
        <f t="shared" si="2"/>
        <v>20</v>
      </c>
      <c r="B25" s="10">
        <f>0.99823*1000</f>
        <v>998.2299999999999</v>
      </c>
      <c r="C25" s="12">
        <v>1.009E-2</v>
      </c>
      <c r="D25" s="12">
        <f t="shared" si="0"/>
        <v>1.0295918367346939E-4</v>
      </c>
      <c r="E25" s="12">
        <f t="shared" si="1"/>
        <v>1.0107890967011611E-2</v>
      </c>
    </row>
    <row r="26" spans="1:5" ht="12" customHeight="1" x14ac:dyDescent="0.2">
      <c r="A26" s="9">
        <f t="shared" si="2"/>
        <v>21</v>
      </c>
      <c r="B26" s="10">
        <f>0.99802*1000</f>
        <v>998.02</v>
      </c>
      <c r="C26" s="12">
        <v>9.8399999999999998E-3</v>
      </c>
      <c r="D26" s="12">
        <f t="shared" si="0"/>
        <v>1.0040816326530612E-4</v>
      </c>
      <c r="E26" s="12">
        <f t="shared" si="1"/>
        <v>9.8595218532694737E-3</v>
      </c>
    </row>
    <row r="27" spans="1:5" ht="12" customHeight="1" x14ac:dyDescent="0.2">
      <c r="A27" s="9">
        <f t="shared" si="2"/>
        <v>22</v>
      </c>
      <c r="B27" s="10">
        <f>0.9978*1000</f>
        <v>997.80000000000007</v>
      </c>
      <c r="C27" s="12">
        <v>9.6100000000000005E-3</v>
      </c>
      <c r="D27" s="12">
        <f t="shared" si="0"/>
        <v>9.8061224489795929E-5</v>
      </c>
      <c r="E27" s="12">
        <f t="shared" si="1"/>
        <v>9.6311886149528965E-3</v>
      </c>
    </row>
    <row r="28" spans="1:5" ht="12" customHeight="1" x14ac:dyDescent="0.2">
      <c r="A28" s="9">
        <f t="shared" si="2"/>
        <v>23</v>
      </c>
      <c r="B28" s="10">
        <f>0.99757*1000</f>
        <v>997.56999999999994</v>
      </c>
      <c r="C28" s="12">
        <v>9.3799999999999994E-3</v>
      </c>
      <c r="D28" s="12">
        <f t="shared" si="0"/>
        <v>9.5714285714285712E-5</v>
      </c>
      <c r="E28" s="12">
        <f t="shared" si="1"/>
        <v>9.4028489228826038E-3</v>
      </c>
    </row>
    <row r="29" spans="1:5" ht="12" customHeight="1" x14ac:dyDescent="0.2">
      <c r="A29" s="9">
        <f t="shared" si="2"/>
        <v>24</v>
      </c>
      <c r="B29" s="10">
        <f>0.99733*1000</f>
        <v>997.33</v>
      </c>
      <c r="C29" s="12">
        <v>9.1599999999999997E-3</v>
      </c>
      <c r="D29" s="12">
        <f t="shared" si="0"/>
        <v>9.3469387755102043E-5</v>
      </c>
      <c r="E29" s="12">
        <f t="shared" si="1"/>
        <v>9.1845226755437014E-3</v>
      </c>
    </row>
    <row r="30" spans="1:5" ht="12" customHeight="1" x14ac:dyDescent="0.2">
      <c r="A30" s="9">
        <f t="shared" si="2"/>
        <v>25</v>
      </c>
      <c r="B30" s="10">
        <f>0.99707*1000</f>
        <v>997.07</v>
      </c>
      <c r="C30" s="12">
        <v>8.9499999999999996E-3</v>
      </c>
      <c r="D30" s="12">
        <f t="shared" si="0"/>
        <v>9.1326530612244897E-5</v>
      </c>
      <c r="E30" s="12">
        <f t="shared" si="1"/>
        <v>8.9763005606426829E-3</v>
      </c>
    </row>
    <row r="31" spans="1:5" ht="12" customHeight="1" x14ac:dyDescent="0.2">
      <c r="A31" s="9">
        <f t="shared" si="2"/>
        <v>26</v>
      </c>
      <c r="B31" s="10">
        <f>0.99681*1000</f>
        <v>996.81</v>
      </c>
      <c r="C31" s="12">
        <v>8.7500000000000008E-3</v>
      </c>
      <c r="D31" s="12">
        <f t="shared" si="0"/>
        <v>8.9285714285714299E-5</v>
      </c>
      <c r="E31" s="12">
        <f t="shared" si="1"/>
        <v>8.7780018258243817E-3</v>
      </c>
    </row>
    <row r="32" spans="1:5" ht="12" customHeight="1" x14ac:dyDescent="0.2">
      <c r="A32" s="9">
        <f t="shared" si="2"/>
        <v>27</v>
      </c>
      <c r="B32" s="10">
        <f>0.99654*1000</f>
        <v>996.54</v>
      </c>
      <c r="C32" s="12">
        <v>8.5500000000000003E-3</v>
      </c>
      <c r="D32" s="12">
        <f t="shared" si="0"/>
        <v>8.7244897959183674E-5</v>
      </c>
      <c r="E32" s="12">
        <f t="shared" si="1"/>
        <v>8.5796857125654772E-3</v>
      </c>
    </row>
    <row r="33" spans="1:5" ht="12" customHeight="1" x14ac:dyDescent="0.2">
      <c r="A33" s="9">
        <f t="shared" si="2"/>
        <v>28</v>
      </c>
      <c r="B33" s="10">
        <f>0.99626*1000</f>
        <v>996.26</v>
      </c>
      <c r="C33" s="12">
        <v>8.3599999999999994E-3</v>
      </c>
      <c r="D33" s="12">
        <f t="shared" si="0"/>
        <v>8.5306122448979585E-5</v>
      </c>
      <c r="E33" s="12">
        <f t="shared" si="1"/>
        <v>8.3913837753196944E-3</v>
      </c>
    </row>
    <row r="34" spans="1:5" ht="12" customHeight="1" x14ac:dyDescent="0.2">
      <c r="A34" s="9">
        <f t="shared" si="2"/>
        <v>29</v>
      </c>
      <c r="B34" s="10">
        <f>0.99597*1000</f>
        <v>995.97</v>
      </c>
      <c r="C34" s="12">
        <v>8.1799999999999998E-3</v>
      </c>
      <c r="D34" s="12">
        <f t="shared" si="0"/>
        <v>8.3469387755102044E-5</v>
      </c>
      <c r="E34" s="12">
        <f t="shared" si="1"/>
        <v>8.2130987881161074E-3</v>
      </c>
    </row>
    <row r="35" spans="1:5" ht="12" customHeight="1" x14ac:dyDescent="0.2">
      <c r="A35" s="9">
        <f t="shared" si="2"/>
        <v>30</v>
      </c>
      <c r="B35" s="10">
        <f>0.99568*1000</f>
        <v>995.68000000000006</v>
      </c>
      <c r="C35" s="12">
        <v>8.0000000000000002E-3</v>
      </c>
      <c r="D35" s="12">
        <f t="shared" si="0"/>
        <v>8.163265306122449E-5</v>
      </c>
      <c r="E35" s="12">
        <f t="shared" si="1"/>
        <v>8.0347099469709141E-3</v>
      </c>
    </row>
    <row r="37" spans="1:5" ht="15" x14ac:dyDescent="0.2">
      <c r="B37" s="346" t="s">
        <v>82</v>
      </c>
      <c r="C37" s="346"/>
      <c r="D37" s="346"/>
    </row>
    <row r="39" spans="1:5" ht="28.5" customHeight="1" x14ac:dyDescent="0.2">
      <c r="B39" s="8" t="s">
        <v>114</v>
      </c>
      <c r="C39" s="13">
        <v>87.5</v>
      </c>
      <c r="D39" s="9">
        <v>75</v>
      </c>
    </row>
    <row r="40" spans="1:5" ht="17.25" customHeight="1" x14ac:dyDescent="0.2">
      <c r="B40" s="11">
        <v>1</v>
      </c>
      <c r="C40" s="22">
        <v>7</v>
      </c>
      <c r="D40" s="22">
        <v>3</v>
      </c>
    </row>
    <row r="41" spans="1:5" ht="17.25" customHeight="1" x14ac:dyDescent="0.2">
      <c r="B41" s="9">
        <v>2</v>
      </c>
      <c r="C41" s="22">
        <v>2.75</v>
      </c>
      <c r="D41" s="22">
        <v>1.66</v>
      </c>
    </row>
    <row r="42" spans="1:5" ht="17.25" customHeight="1" x14ac:dyDescent="0.2">
      <c r="B42" s="9">
        <v>3</v>
      </c>
      <c r="C42" s="22">
        <v>2.37</v>
      </c>
      <c r="D42" s="22">
        <v>1.52</v>
      </c>
    </row>
  </sheetData>
  <mergeCells count="1">
    <mergeCell ref="B37:D37"/>
  </mergeCells>
  <phoneticPr fontId="0" type="noConversion"/>
  <printOptions horizontalCentered="1"/>
  <pageMargins left="0.25" right="0.75" top="0.48" bottom="0.61" header="0.75" footer="0.31"/>
  <pageSetup orientation="portrait" horizontalDpi="180" verticalDpi="180" r:id="rId1"/>
  <headerFooter alignWithMargins="0">
    <oddHeader>&amp;R&amp;"Times New Roman,Negrita"Estudios y diseños Plan Maestro de Acueducto y
 Alcantarillado urbano del Municipio de Jardín</oddHeader>
    <oddFooter>&amp;R&amp;9&amp;F/&amp;A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Anexo 2.1 Bocatoma</vt:lpstr>
      <vt:lpstr>Boc marinera</vt:lpstr>
      <vt:lpstr>Anexo 2.2 Caja de derivación</vt:lpstr>
      <vt:lpstr>Int. desarenador</vt:lpstr>
      <vt:lpstr>Des-Esc 1 (RAS-2000)</vt:lpstr>
      <vt:lpstr>Anexo 2.3 Des-Esc 2 (RAS-2000)</vt:lpstr>
      <vt:lpstr>Relacion Diametro - Velocidad</vt:lpstr>
      <vt:lpstr>Viscosidad, Numero Hazen</vt:lpstr>
      <vt:lpstr>'Anexo 2.1 Bocatoma'!Área_de_impresión</vt:lpstr>
      <vt:lpstr>'Anexo 2.3 Des-Esc 2 (RAS-2000)'!Área_de_impresión</vt:lpstr>
      <vt:lpstr>'Boc marinera'!Área_de_impresión</vt:lpstr>
      <vt:lpstr>'Des-Esc 1 (RAS-2000)'!Área_de_impresión</vt:lpstr>
      <vt:lpstr>'Int. desarenador'!Área_de_impresión</vt:lpstr>
      <vt:lpstr>'Viscosidad, Numero Hazen'!Área_de_impresión</vt:lpstr>
      <vt:lpstr>'Anexo 2.1 Bocatoma'!Títulos_a_imprimir</vt:lpstr>
      <vt:lpstr>'Anexo 2.3 Des-Esc 2 (RAS-2000)'!Títulos_a_imprimir</vt:lpstr>
      <vt:lpstr>'Boc marinera'!Títulos_a_imprimir</vt:lpstr>
      <vt:lpstr>'Des-Esc 1 (RAS-2000)'!Títulos_a_imprimir</vt:lpstr>
      <vt:lpstr>'Int. desarenador'!Títulos_a_imprimir</vt:lpstr>
    </vt:vector>
  </TitlesOfParts>
  <Company>SANEAR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SANEAR5</dc:creator>
  <cp:lastModifiedBy>WinuE</cp:lastModifiedBy>
  <cp:lastPrinted>2011-04-04T19:57:23Z</cp:lastPrinted>
  <dcterms:created xsi:type="dcterms:W3CDTF">2001-01-25T14:48:02Z</dcterms:created>
  <dcterms:modified xsi:type="dcterms:W3CDTF">2014-07-16T19:58:18Z</dcterms:modified>
</cp:coreProperties>
</file>